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USH\Documents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I30" i="1"/>
  <c r="H30" i="1"/>
  <c r="G30" i="1"/>
  <c r="F30" i="1"/>
  <c r="E30" i="1"/>
  <c r="I29" i="1"/>
  <c r="H29" i="1"/>
  <c r="G29" i="1"/>
  <c r="I28" i="1"/>
  <c r="H28" i="1"/>
  <c r="G28" i="1"/>
  <c r="F28" i="1"/>
  <c r="I18" i="1"/>
  <c r="H18" i="1"/>
  <c r="G18" i="1"/>
  <c r="F18" i="1"/>
  <c r="F17" i="1"/>
  <c r="E18" i="1"/>
  <c r="I19" i="1"/>
  <c r="H19" i="1"/>
  <c r="G19" i="1"/>
  <c r="F19" i="1"/>
  <c r="I17" i="1"/>
  <c r="H17" i="1"/>
  <c r="G17" i="1"/>
  <c r="I16" i="1"/>
  <c r="H16" i="1"/>
  <c r="G16" i="1"/>
  <c r="F16" i="1"/>
  <c r="E16" i="1"/>
  <c r="I11" i="1"/>
  <c r="H11" i="1"/>
  <c r="G11" i="1"/>
  <c r="I10" i="1"/>
  <c r="H10" i="1"/>
  <c r="G10" i="1"/>
  <c r="F10" i="1"/>
  <c r="I8" i="1" l="1"/>
  <c r="H8" i="1"/>
  <c r="F8" i="1"/>
  <c r="E8" i="1"/>
  <c r="I9" i="1"/>
  <c r="H9" i="1"/>
  <c r="G9" i="1"/>
  <c r="F9" i="1"/>
  <c r="B8" i="1"/>
  <c r="I7" i="1"/>
  <c r="H7" i="1"/>
  <c r="G7" i="1"/>
  <c r="F7" i="1"/>
  <c r="I6" i="1"/>
  <c r="H6" i="1"/>
  <c r="G6" i="1"/>
  <c r="F6" i="1"/>
  <c r="E6" i="1"/>
  <c r="I5" i="1"/>
  <c r="H5" i="1"/>
  <c r="G5" i="1"/>
  <c r="F5" i="1"/>
  <c r="I4" i="1"/>
  <c r="H4" i="1"/>
  <c r="G4" i="1"/>
  <c r="F4" i="1"/>
  <c r="E4" i="1"/>
  <c r="I3" i="1"/>
  <c r="H3" i="1"/>
  <c r="G3" i="1"/>
  <c r="F3" i="1"/>
  <c r="I2" i="1"/>
  <c r="H2" i="1"/>
  <c r="E2" i="1"/>
  <c r="F2" i="1"/>
  <c r="G2" i="1"/>
</calcChain>
</file>

<file path=xl/sharedStrings.xml><?xml version="1.0" encoding="utf-8"?>
<sst xmlns="http://schemas.openxmlformats.org/spreadsheetml/2006/main" count="81" uniqueCount="38">
  <si>
    <t xml:space="preserve">Type of Ratio </t>
  </si>
  <si>
    <t xml:space="preserve">Sub category </t>
  </si>
  <si>
    <t xml:space="preserve">formula </t>
  </si>
  <si>
    <t xml:space="preserve">RoI performance </t>
  </si>
  <si>
    <t xml:space="preserve">ROI </t>
  </si>
  <si>
    <t xml:space="preserve">net profit/total assets </t>
  </si>
  <si>
    <t xml:space="preserve">Company </t>
  </si>
  <si>
    <t>H</t>
  </si>
  <si>
    <t>U</t>
  </si>
  <si>
    <t>-</t>
  </si>
  <si>
    <t xml:space="preserve">Liquidity </t>
  </si>
  <si>
    <t xml:space="preserve">Current ratio </t>
  </si>
  <si>
    <t>Acid test ratio</t>
  </si>
  <si>
    <t xml:space="preserve">Current assets/Current liabilities </t>
  </si>
  <si>
    <t>(current assets - Inventory)/current assets</t>
  </si>
  <si>
    <t xml:space="preserve">PP&amp;E efficiency </t>
  </si>
  <si>
    <t>sales/PP&amp;E</t>
  </si>
  <si>
    <t>Overall balance sheet efficiency</t>
  </si>
  <si>
    <t xml:space="preserve">Balance sheet efficiency </t>
  </si>
  <si>
    <t xml:space="preserve">Net credit sales/Average Accounts receivable </t>
  </si>
  <si>
    <t xml:space="preserve">Market value of shares </t>
  </si>
  <si>
    <t xml:space="preserve">Davidend Payout </t>
  </si>
  <si>
    <t xml:space="preserve">Debt ratios </t>
  </si>
  <si>
    <t>Debt ratio</t>
  </si>
  <si>
    <t xml:space="preserve">Total debts/Total assets </t>
  </si>
  <si>
    <t>Equity-to-debt ratioTotal debt/Equity</t>
  </si>
  <si>
    <t xml:space="preserve">Cashflow perfomence </t>
  </si>
  <si>
    <t xml:space="preserve">Operating </t>
  </si>
  <si>
    <t xml:space="preserve">Investing </t>
  </si>
  <si>
    <t xml:space="preserve">financing </t>
  </si>
  <si>
    <t xml:space="preserve">Free cashflow </t>
  </si>
  <si>
    <t xml:space="preserve">Cash conversion cycle </t>
  </si>
  <si>
    <t xml:space="preserve">days inventory outstanding </t>
  </si>
  <si>
    <t>(Av. Inventory/CoGs)*365</t>
  </si>
  <si>
    <t>u</t>
  </si>
  <si>
    <t xml:space="preserve">Profitability performance </t>
  </si>
  <si>
    <t xml:space="preserve">Net profit margin </t>
  </si>
  <si>
    <t>Net profit/Sales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</si>
</sst>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7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6" xfId="0" applyFont="1" applyBorder="1"/>
    <xf numFmtId="0" fontId="0" fillId="2" borderId="0" xfId="0" applyFill="1"/>
    <xf numFmtId="0" fontId="0" fillId="2" borderId="1" xfId="0" applyFill="1" applyBorder="1"/>
    <xf numFmtId="0" fontId="0" fillId="2" borderId="4" xfId="0" applyFill="1" applyBorder="1"/>
    <xf numFmtId="0" fontId="0" fillId="2" borderId="7" xfId="0" applyFill="1" applyBorder="1"/>
    <xf numFmtId="0" fontId="0" fillId="2" borderId="2" xfId="0" applyFill="1" applyBorder="1"/>
    <xf numFmtId="0" fontId="0" fillId="2" borderId="5" xfId="0" applyFill="1" applyBorder="1"/>
    <xf numFmtId="164" fontId="0" fillId="2" borderId="0" xfId="1" applyNumberFormat="1" applyFont="1" applyFill="1"/>
    <xf numFmtId="164" fontId="0" fillId="2" borderId="2" xfId="1" applyNumberFormat="1" applyFont="1" applyFill="1" applyBorder="1"/>
    <xf numFmtId="0" fontId="0" fillId="3" borderId="0" xfId="0" applyFill="1"/>
    <xf numFmtId="0" fontId="0" fillId="3" borderId="0" xfId="0" applyFill="1" applyBorder="1"/>
    <xf numFmtId="0" fontId="0" fillId="4" borderId="0" xfId="0" applyFill="1"/>
    <xf numFmtId="0" fontId="0" fillId="4" borderId="3" xfId="0" applyFill="1" applyBorder="1"/>
    <xf numFmtId="0" fontId="0" fillId="4" borderId="0" xfId="0" applyFill="1" applyBorder="1"/>
    <xf numFmtId="167" fontId="0" fillId="4" borderId="0" xfId="0" applyNumberFormat="1" applyFill="1"/>
    <xf numFmtId="2" fontId="0" fillId="4" borderId="0" xfId="0" applyNumberFormat="1" applyFill="1"/>
    <xf numFmtId="2" fontId="0" fillId="3" borderId="0" xfId="0" applyNumberFormat="1" applyFill="1"/>
    <xf numFmtId="0" fontId="0" fillId="5" borderId="0" xfId="0" applyFill="1"/>
    <xf numFmtId="2" fontId="0" fillId="5" borderId="0" xfId="0" applyNumberFormat="1" applyFill="1"/>
    <xf numFmtId="0" fontId="0" fillId="6" borderId="0" xfId="0" applyFill="1"/>
    <xf numFmtId="1" fontId="0" fillId="6" borderId="0" xfId="0" applyNumberFormat="1" applyFill="1"/>
    <xf numFmtId="0" fontId="0" fillId="7" borderId="0" xfId="0" applyFill="1"/>
    <xf numFmtId="9" fontId="0" fillId="7" borderId="0" xfId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topLeftCell="A13" workbookViewId="0">
      <selection activeCell="C11" sqref="C11"/>
    </sheetView>
  </sheetViews>
  <sheetFormatPr defaultRowHeight="15" x14ac:dyDescent="0.25"/>
  <cols>
    <col min="1" max="1" width="27.28515625" customWidth="1"/>
    <col min="2" max="2" width="16" customWidth="1"/>
    <col min="3" max="4" width="21.7109375" customWidth="1"/>
    <col min="5" max="5" width="9" customWidth="1"/>
    <col min="6" max="6" width="8.7109375" customWidth="1"/>
    <col min="7" max="7" width="7.85546875" customWidth="1"/>
    <col min="8" max="9" width="10.5703125" bestFit="1" customWidth="1"/>
  </cols>
  <sheetData>
    <row r="1" spans="1:9" ht="30" customHeight="1" x14ac:dyDescent="0.3">
      <c r="A1" s="2" t="s">
        <v>0</v>
      </c>
      <c r="B1" s="2" t="s">
        <v>1</v>
      </c>
      <c r="C1" s="2" t="s">
        <v>2</v>
      </c>
      <c r="D1" s="3" t="s">
        <v>6</v>
      </c>
      <c r="E1" s="1">
        <v>2015</v>
      </c>
      <c r="F1" s="2">
        <v>2016</v>
      </c>
      <c r="G1" s="2">
        <v>2017</v>
      </c>
      <c r="H1" s="2">
        <v>2018</v>
      </c>
      <c r="I1" s="2">
        <v>2019</v>
      </c>
    </row>
    <row r="2" spans="1:9" x14ac:dyDescent="0.25">
      <c r="A2" s="4" t="s">
        <v>3</v>
      </c>
      <c r="B2" s="5" t="s">
        <v>4</v>
      </c>
      <c r="C2" s="6" t="s">
        <v>5</v>
      </c>
      <c r="D2" s="7" t="s">
        <v>7</v>
      </c>
      <c r="E2" s="11">
        <f>473873/5597590</f>
        <v>8.465661114872651E-2</v>
      </c>
      <c r="F2" s="10">
        <f>571199/6930480</f>
        <v>8.2418389491059785E-2</v>
      </c>
      <c r="G2" s="10">
        <f>(529095/6894775)</f>
        <v>7.6738544767595757E-2</v>
      </c>
      <c r="H2" s="10">
        <f>643581/7238240</f>
        <v>8.891401777227613E-2</v>
      </c>
      <c r="I2" s="10">
        <f>679727/7353986</f>
        <v>9.2429738103934386E-2</v>
      </c>
    </row>
    <row r="3" spans="1:9" x14ac:dyDescent="0.25">
      <c r="A3" s="4"/>
      <c r="B3" s="5"/>
      <c r="C3" s="9"/>
      <c r="D3" s="9" t="s">
        <v>8</v>
      </c>
      <c r="E3" s="8" t="s">
        <v>9</v>
      </c>
      <c r="F3" s="10">
        <f>388282/3644331</f>
        <v>0.10654410919315507</v>
      </c>
      <c r="G3" s="10">
        <f>-10309/4006367</f>
        <v>-2.5731541818310704E-3</v>
      </c>
      <c r="H3" s="10">
        <f>-67708/4245022</f>
        <v>-1.5949976230983019E-2</v>
      </c>
      <c r="I3" s="10">
        <f>209842/4845531</f>
        <v>4.3306296048874725E-2</v>
      </c>
    </row>
    <row r="4" spans="1:9" x14ac:dyDescent="0.25">
      <c r="A4" s="14" t="s">
        <v>10</v>
      </c>
      <c r="B4" s="14" t="s">
        <v>11</v>
      </c>
      <c r="C4" s="15" t="s">
        <v>13</v>
      </c>
      <c r="D4" s="16" t="s">
        <v>7</v>
      </c>
      <c r="E4" s="18">
        <f>2917867/1503909</f>
        <v>1.9401885353435613</v>
      </c>
      <c r="F4" s="18">
        <f>3321166/1625668</f>
        <v>2.0429546500269429</v>
      </c>
      <c r="G4" s="18">
        <f>3386370/1778745</f>
        <v>1.9037973402595649</v>
      </c>
      <c r="H4" s="18">
        <f>3542115/2045938</f>
        <v>1.7312914663103183</v>
      </c>
      <c r="I4" s="18">
        <f>3224565/1771439</f>
        <v>1.8203082352821633</v>
      </c>
    </row>
    <row r="5" spans="1:9" x14ac:dyDescent="0.25">
      <c r="A5" s="14"/>
      <c r="B5" s="14"/>
      <c r="C5" s="14"/>
      <c r="D5" s="14" t="s">
        <v>8</v>
      </c>
      <c r="E5" s="18" t="s">
        <v>9</v>
      </c>
      <c r="F5" s="18">
        <f>1965153/685816</f>
        <v>2.8654230872420592</v>
      </c>
      <c r="G5" s="18">
        <f>2337679/1060375</f>
        <v>2.204577625839915</v>
      </c>
      <c r="H5" s="18">
        <f>2593628/1315977</f>
        <v>1.9708763906967979</v>
      </c>
      <c r="I5" s="18">
        <f>2702209/1422009</f>
        <v>1.9002755960053699</v>
      </c>
    </row>
    <row r="6" spans="1:9" x14ac:dyDescent="0.25">
      <c r="A6" s="14"/>
      <c r="B6" s="14" t="s">
        <v>12</v>
      </c>
      <c r="C6" s="14" t="s">
        <v>14</v>
      </c>
      <c r="D6" s="14" t="s">
        <v>7</v>
      </c>
      <c r="E6" s="18">
        <f>(2917867-1814602)/1503909</f>
        <v>0.73359824297879728</v>
      </c>
      <c r="F6" s="18">
        <f>(3321166-1840565)/1625668</f>
        <v>0.91076468257971488</v>
      </c>
      <c r="G6" s="18">
        <f>(3386370-1874990)/1778745</f>
        <v>0.84968896609688294</v>
      </c>
      <c r="H6" s="18">
        <f>(3542115-2056838)/2045938</f>
        <v>0.72596383663630082</v>
      </c>
      <c r="I6" s="18">
        <f>(3224565-1905845)/1771439</f>
        <v>0.74443432712049351</v>
      </c>
    </row>
    <row r="7" spans="1:9" x14ac:dyDescent="0.25">
      <c r="A7" s="14"/>
      <c r="B7" s="14"/>
      <c r="C7" s="14"/>
      <c r="D7" s="14" t="s">
        <v>8</v>
      </c>
      <c r="E7" s="18" t="s">
        <v>9</v>
      </c>
      <c r="F7" s="18">
        <f>(1965153-917491)/685816</f>
        <v>1.5276138206166086</v>
      </c>
      <c r="G7" s="18">
        <f>(2337679-1158548)/1060375</f>
        <v>1.1119943416244253</v>
      </c>
      <c r="H7" s="18">
        <f>(2593628-1019496)/1315977</f>
        <v>1.196169841874136</v>
      </c>
      <c r="I7" s="18">
        <f>(2702209-892258)/1422009</f>
        <v>1.2728126193294136</v>
      </c>
    </row>
    <row r="8" spans="1:9" x14ac:dyDescent="0.25">
      <c r="A8" s="12" t="s">
        <v>15</v>
      </c>
      <c r="B8" s="12" t="str">
        <f>A8</f>
        <v xml:space="preserve">PP&amp;E efficiency </v>
      </c>
      <c r="C8" s="12" t="s">
        <v>16</v>
      </c>
      <c r="D8" s="13" t="s">
        <v>7</v>
      </c>
      <c r="E8" s="19">
        <f>5731549/650462</f>
        <v>8.8115047458575599</v>
      </c>
      <c r="F8" s="19">
        <f>6028199/692464</f>
        <v>8.7054330622241736</v>
      </c>
      <c r="G8" s="19">
        <v>10.37</v>
      </c>
      <c r="H8" s="19">
        <f>6803955/607688</f>
        <v>11.196461012888193</v>
      </c>
      <c r="I8" s="19">
        <f>6966923/587896</f>
        <v>11.85060452869215</v>
      </c>
    </row>
    <row r="9" spans="1:9" x14ac:dyDescent="0.25">
      <c r="A9" s="12"/>
      <c r="B9" s="12"/>
      <c r="C9" s="12"/>
      <c r="D9" s="13" t="s">
        <v>8</v>
      </c>
      <c r="E9" s="19" t="s">
        <v>9</v>
      </c>
      <c r="F9" s="19">
        <f>4833338/804211</f>
        <v>6.0100371668629249</v>
      </c>
      <c r="G9" s="19">
        <f>4989244/885774</f>
        <v>5.6326376705570498</v>
      </c>
      <c r="H9" s="19">
        <f>5193165/826868</f>
        <v>6.2805248237929145</v>
      </c>
      <c r="I9" s="19">
        <f>5267132/792148</f>
        <v>6.6491766690062972</v>
      </c>
    </row>
    <row r="10" spans="1:9" x14ac:dyDescent="0.25">
      <c r="A10" s="20" t="s">
        <v>17</v>
      </c>
      <c r="B10" s="20" t="s">
        <v>18</v>
      </c>
      <c r="C10" s="20" t="s">
        <v>19</v>
      </c>
      <c r="D10" s="20" t="s">
        <v>7</v>
      </c>
      <c r="E10" s="20" t="s">
        <v>9</v>
      </c>
      <c r="F10" s="21">
        <f>6028199/((680417+836924)/2)</f>
        <v>7.9457406080768926</v>
      </c>
      <c r="G10" s="21">
        <f>6471410/((836924+903318)/2)</f>
        <v>7.4373679063026863</v>
      </c>
      <c r="H10" s="21">
        <f>6803955/((903318+870878)/2)</f>
        <v>7.6699023106804436</v>
      </c>
      <c r="I10" s="21">
        <f>6966926/((870878+815210)/2)</f>
        <v>8.2640123172693247</v>
      </c>
    </row>
    <row r="11" spans="1:9" x14ac:dyDescent="0.25">
      <c r="A11" s="20"/>
      <c r="B11" s="20"/>
      <c r="C11" s="20"/>
      <c r="D11" s="20" t="s">
        <v>8</v>
      </c>
      <c r="E11" s="20" t="s">
        <v>9</v>
      </c>
      <c r="F11" s="21" t="s">
        <v>9</v>
      </c>
      <c r="G11" s="21">
        <f>4989244/((622685+609670)/2)</f>
        <v>8.0970889070113721</v>
      </c>
      <c r="H11" s="21">
        <f>5193165/((609670+652546)/2)</f>
        <v>8.2286470778377083</v>
      </c>
      <c r="I11" s="21">
        <f>5267132/((708714+652546)/2)</f>
        <v>7.7386127558291582</v>
      </c>
    </row>
    <row r="12" spans="1:9" x14ac:dyDescent="0.25">
      <c r="A12" s="22" t="s">
        <v>20</v>
      </c>
      <c r="B12" s="22"/>
      <c r="C12" s="22"/>
      <c r="D12" s="22" t="s">
        <v>7</v>
      </c>
      <c r="E12" s="22">
        <v>23.44</v>
      </c>
      <c r="F12" s="22">
        <v>24.65</v>
      </c>
      <c r="G12" s="22">
        <v>21.57</v>
      </c>
      <c r="H12" s="22">
        <v>20.91</v>
      </c>
      <c r="I12" s="22">
        <v>12.19</v>
      </c>
    </row>
    <row r="13" spans="1:9" x14ac:dyDescent="0.25">
      <c r="A13" s="22"/>
      <c r="B13" s="22"/>
      <c r="C13" s="22"/>
      <c r="D13" s="22" t="s">
        <v>8</v>
      </c>
      <c r="E13" s="22">
        <v>33.450000000000003</v>
      </c>
      <c r="F13" s="22">
        <v>39.83</v>
      </c>
      <c r="G13" s="22">
        <v>29.42</v>
      </c>
      <c r="H13" s="22">
        <v>14.43</v>
      </c>
      <c r="I13" s="22">
        <v>17.809999999999999</v>
      </c>
    </row>
    <row r="14" spans="1:9" x14ac:dyDescent="0.25">
      <c r="A14" s="4" t="s">
        <v>21</v>
      </c>
      <c r="B14" s="4"/>
      <c r="C14" s="4"/>
      <c r="D14" s="4" t="s">
        <v>7</v>
      </c>
      <c r="E14" s="4">
        <v>0.41</v>
      </c>
      <c r="F14" s="4">
        <v>0.43</v>
      </c>
      <c r="G14" s="4">
        <v>0.6</v>
      </c>
      <c r="H14" s="4">
        <v>0.59</v>
      </c>
      <c r="I14" s="4">
        <v>0.59</v>
      </c>
    </row>
    <row r="15" spans="1:9" x14ac:dyDescent="0.25">
      <c r="A15" s="4"/>
      <c r="B15" s="4"/>
      <c r="C15" s="4"/>
      <c r="D15" s="4" t="s">
        <v>8</v>
      </c>
      <c r="E15" s="4" t="s">
        <v>9</v>
      </c>
      <c r="F15" s="4" t="s">
        <v>9</v>
      </c>
      <c r="G15" s="4" t="s">
        <v>9</v>
      </c>
      <c r="H15" s="4" t="s">
        <v>9</v>
      </c>
      <c r="I15" s="4" t="s">
        <v>9</v>
      </c>
    </row>
    <row r="16" spans="1:9" x14ac:dyDescent="0.25">
      <c r="A16" s="14" t="s">
        <v>22</v>
      </c>
      <c r="B16" s="14" t="s">
        <v>23</v>
      </c>
      <c r="C16" s="14" t="s">
        <v>24</v>
      </c>
      <c r="D16" s="14" t="s">
        <v>7</v>
      </c>
      <c r="E16" s="17">
        <f>4321699/5597590</f>
        <v>0.77206422764082405</v>
      </c>
      <c r="F16" s="17">
        <f>5706566/6903480</f>
        <v>0.82662164589453435</v>
      </c>
      <c r="G16" s="17">
        <f>6208573/6894775</f>
        <v>0.90047506988988035</v>
      </c>
      <c r="H16" s="17">
        <f>6366154/7238240</f>
        <v>0.87951684387364881</v>
      </c>
      <c r="I16" s="17">
        <f>6117391/7355986</f>
        <v>0.83162080515107017</v>
      </c>
    </row>
    <row r="17" spans="1:9" x14ac:dyDescent="0.25">
      <c r="A17" s="14"/>
      <c r="B17" s="14"/>
      <c r="C17" s="14"/>
      <c r="D17" s="14" t="s">
        <v>8</v>
      </c>
      <c r="E17" s="17" t="s">
        <v>9</v>
      </c>
      <c r="F17" s="17">
        <f>1613431/3644331</f>
        <v>0.44272350672866984</v>
      </c>
      <c r="G17" s="17">
        <f>1987725/4006367</f>
        <v>0.49614151674072793</v>
      </c>
      <c r="H17" s="17">
        <f>2228151/4245022</f>
        <v>0.52488561896734576</v>
      </c>
      <c r="I17" s="17">
        <f>2693444/4845551</f>
        <v>0.55585917886324998</v>
      </c>
    </row>
    <row r="18" spans="1:9" x14ac:dyDescent="0.25">
      <c r="A18" s="14"/>
      <c r="B18" s="14" t="s">
        <v>25</v>
      </c>
      <c r="C18" s="14"/>
      <c r="D18" s="14" t="s">
        <v>7</v>
      </c>
      <c r="E18" s="17">
        <f>4321699/1275891</f>
        <v>3.3872007875280881</v>
      </c>
      <c r="F18" s="17">
        <f>5706566/1223914</f>
        <v>4.6625547219821</v>
      </c>
      <c r="G18" s="17">
        <f>6208573/686202</f>
        <v>9.04773375769817</v>
      </c>
      <c r="H18" s="17">
        <f>6366154/872126</f>
        <v>7.2995805651935619</v>
      </c>
      <c r="I18" s="17">
        <f>6117391/1236595</f>
        <v>4.9469640423905972</v>
      </c>
    </row>
    <row r="19" spans="1:9" x14ac:dyDescent="0.25">
      <c r="A19" s="14"/>
      <c r="B19" s="14"/>
      <c r="C19" s="14"/>
      <c r="D19" s="14" t="s">
        <v>8</v>
      </c>
      <c r="E19" s="17" t="s">
        <v>9</v>
      </c>
      <c r="F19" s="17">
        <f>1613431/3664331</f>
        <v>0.44030711199397654</v>
      </c>
      <c r="G19" s="17">
        <f>1987725/2018642</f>
        <v>0.98468425803089399</v>
      </c>
      <c r="H19" s="17">
        <f>2228151/2016871</f>
        <v>1.1047563279951966</v>
      </c>
      <c r="I19" s="17">
        <f>2693444/2150087</f>
        <v>1.252713959946737</v>
      </c>
    </row>
    <row r="20" spans="1:9" x14ac:dyDescent="0.25">
      <c r="A20" s="12" t="s">
        <v>26</v>
      </c>
      <c r="B20" s="12"/>
      <c r="C20" s="12" t="s">
        <v>27</v>
      </c>
      <c r="D20" s="12" t="s">
        <v>7</v>
      </c>
      <c r="E20" s="12">
        <v>227007</v>
      </c>
      <c r="F20" s="12">
        <v>605607</v>
      </c>
      <c r="G20" s="12">
        <v>655718</v>
      </c>
      <c r="H20" s="12">
        <v>643402</v>
      </c>
      <c r="I20" s="12">
        <v>803432</v>
      </c>
    </row>
    <row r="21" spans="1:9" x14ac:dyDescent="0.25">
      <c r="A21" s="12"/>
      <c r="B21" s="12"/>
      <c r="C21" s="12"/>
      <c r="D21" s="12" t="s">
        <v>8</v>
      </c>
      <c r="E21" s="12">
        <v>14541</v>
      </c>
      <c r="F21" s="12">
        <v>364368</v>
      </c>
      <c r="G21" s="12">
        <v>234063</v>
      </c>
      <c r="H21" s="12">
        <v>628230</v>
      </c>
      <c r="I21" s="12">
        <v>509031</v>
      </c>
    </row>
    <row r="22" spans="1:9" x14ac:dyDescent="0.25">
      <c r="A22" s="12"/>
      <c r="B22" s="12"/>
      <c r="C22" s="12" t="s">
        <v>28</v>
      </c>
      <c r="D22" s="12" t="s">
        <v>7</v>
      </c>
      <c r="E22" s="12">
        <v>-276800</v>
      </c>
      <c r="F22" s="12">
        <v>-966641</v>
      </c>
      <c r="G22" s="12">
        <v>-104513</v>
      </c>
      <c r="H22" s="12">
        <v>-418651</v>
      </c>
      <c r="I22" s="12">
        <v>-109660</v>
      </c>
    </row>
    <row r="23" spans="1:9" x14ac:dyDescent="0.25">
      <c r="A23" s="12"/>
      <c r="B23" s="12"/>
      <c r="C23" s="12"/>
      <c r="D23" s="12" t="s">
        <v>8</v>
      </c>
      <c r="E23" s="12">
        <v>-847475</v>
      </c>
      <c r="F23" s="12">
        <v>-381139</v>
      </c>
      <c r="G23" s="12">
        <v>-282987</v>
      </c>
      <c r="H23" s="12">
        <v>-202904</v>
      </c>
      <c r="I23" s="12">
        <v>-147113</v>
      </c>
    </row>
    <row r="24" spans="1:9" x14ac:dyDescent="0.25">
      <c r="A24" s="12"/>
      <c r="B24" s="12"/>
      <c r="C24" s="12" t="s">
        <v>29</v>
      </c>
      <c r="D24" s="12" t="s">
        <v>7</v>
      </c>
      <c r="E24" s="12">
        <v>132982</v>
      </c>
      <c r="F24" s="12">
        <v>-511054</v>
      </c>
      <c r="G24" s="12">
        <v>-585768</v>
      </c>
      <c r="H24" s="12">
        <v>-200497</v>
      </c>
      <c r="I24" s="12">
        <v>-824010</v>
      </c>
    </row>
    <row r="25" spans="1:9" x14ac:dyDescent="0.25">
      <c r="A25" s="12"/>
      <c r="B25" s="12"/>
      <c r="C25" s="12"/>
      <c r="D25" s="12" t="s">
        <v>8</v>
      </c>
      <c r="E25" s="12">
        <v>381433</v>
      </c>
      <c r="F25" s="12">
        <v>146114</v>
      </c>
      <c r="G25" s="12">
        <v>106759</v>
      </c>
      <c r="H25" s="12">
        <v>-189868</v>
      </c>
      <c r="I25" s="12">
        <v>137070</v>
      </c>
    </row>
    <row r="26" spans="1:9" x14ac:dyDescent="0.25">
      <c r="A26" s="12"/>
      <c r="B26" s="12"/>
      <c r="C26" s="12" t="s">
        <v>30</v>
      </c>
      <c r="D26" s="12" t="s">
        <v>7</v>
      </c>
      <c r="E26" s="12">
        <v>319169</v>
      </c>
      <c r="F26" s="12">
        <v>460245</v>
      </c>
      <c r="G26" s="12">
        <v>421566</v>
      </c>
      <c r="H26" s="12">
        <v>433022</v>
      </c>
      <c r="I26" s="12">
        <v>328876</v>
      </c>
    </row>
    <row r="27" spans="1:9" x14ac:dyDescent="0.25">
      <c r="A27" s="12"/>
      <c r="B27" s="12"/>
      <c r="C27" s="12"/>
      <c r="D27" s="12" t="s">
        <v>8</v>
      </c>
      <c r="E27" s="12">
        <v>129852</v>
      </c>
      <c r="F27" s="12">
        <v>250470</v>
      </c>
      <c r="G27" s="12">
        <v>312483</v>
      </c>
      <c r="H27" s="12">
        <v>318135</v>
      </c>
      <c r="I27" s="12">
        <v>566060</v>
      </c>
    </row>
    <row r="28" spans="1:9" x14ac:dyDescent="0.25">
      <c r="A28" s="22" t="s">
        <v>31</v>
      </c>
      <c r="B28" s="22" t="s">
        <v>32</v>
      </c>
      <c r="C28" s="22" t="s">
        <v>33</v>
      </c>
      <c r="D28" s="22" t="s">
        <v>7</v>
      </c>
      <c r="E28" s="22" t="s">
        <v>9</v>
      </c>
      <c r="F28" s="23">
        <f>(((1814602+1840565)/2)/3595217)*365</f>
        <v>185.5431751407495</v>
      </c>
      <c r="G28" s="23">
        <f>(((1840565+1874990)/2/3981959)*365)</f>
        <v>170.29024846815349</v>
      </c>
      <c r="H28" s="23">
        <f>(((1874990+2056838)/2)/4150756)*365</f>
        <v>172.87419689328885</v>
      </c>
      <c r="I28" s="23">
        <f>(((2056838+1905845)/2)/4247593)*365</f>
        <v>170.25869651353131</v>
      </c>
    </row>
    <row r="29" spans="1:9" x14ac:dyDescent="0.25">
      <c r="A29" s="22"/>
      <c r="B29" s="22"/>
      <c r="C29" s="22"/>
      <c r="D29" s="22" t="s">
        <v>34</v>
      </c>
      <c r="E29" s="22" t="s">
        <v>9</v>
      </c>
      <c r="F29" s="23" t="s">
        <v>9</v>
      </c>
      <c r="G29" s="23">
        <f>(((917491+1158548)/2)/2737830)*365</f>
        <v>138.38591786195636</v>
      </c>
      <c r="H29" s="23">
        <f>(((1874990+2056838)/2)/4150736)*365</f>
        <v>172.8750298742199</v>
      </c>
      <c r="I29" s="23">
        <f>(((1905845+2056838)/2)/4247593)*365</f>
        <v>170.25869651353131</v>
      </c>
    </row>
    <row r="30" spans="1:9" x14ac:dyDescent="0.25">
      <c r="A30" s="24" t="s">
        <v>35</v>
      </c>
      <c r="B30" s="24" t="s">
        <v>36</v>
      </c>
      <c r="C30" s="24" t="s">
        <v>37</v>
      </c>
      <c r="D30" s="24" t="s">
        <v>7</v>
      </c>
      <c r="E30" s="25">
        <f>428855/5731599</f>
        <v>7.4822924632375706E-2</v>
      </c>
      <c r="F30" s="25">
        <f>536927/6028199</f>
        <v>8.9069222830898576E-2</v>
      </c>
      <c r="G30" s="25">
        <f>73881/6471410</f>
        <v>1.141652282887346E-2</v>
      </c>
      <c r="H30" s="25">
        <f>539666/6803955</f>
        <v>7.931651517389518E-2</v>
      </c>
      <c r="I30" s="25">
        <f>600720/6966923</f>
        <v>8.6224578626748136E-2</v>
      </c>
    </row>
    <row r="31" spans="1:9" x14ac:dyDescent="0.25">
      <c r="A31" s="24"/>
      <c r="B31" s="24"/>
      <c r="C31" s="24"/>
      <c r="D31" s="24" t="s">
        <v>8</v>
      </c>
      <c r="E31" s="25">
        <f>202368/3963313</f>
        <v>5.1060312420442192E-2</v>
      </c>
      <c r="F31" s="25">
        <f>249849/41833338</f>
        <v>5.9724853895235424E-3</v>
      </c>
      <c r="G31" s="25">
        <f>-34328/4989244</f>
        <v>-6.8804011188869493E-3</v>
      </c>
      <c r="H31" s="25">
        <f>-47078/5193165</f>
        <v>-9.0653772795588044E-3</v>
      </c>
      <c r="I31" s="25">
        <f>80361/5267132</f>
        <v>1.5257069691817103E-2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TUSH</dc:creator>
  <cp:lastModifiedBy>TUSH</cp:lastModifiedBy>
  <dcterms:created xsi:type="dcterms:W3CDTF">2021-03-05T08:48:14Z</dcterms:created>
  <dcterms:modified xsi:type="dcterms:W3CDTF">2021-03-06T00:44:42Z</dcterms:modified>
</cp:coreProperties>
</file>