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0125" windowHeight="5835" tabRatio="775"/>
  </bookViews>
  <sheets>
    <sheet name="Build up Model" sheetId="28" r:id="rId1"/>
  </sheets>
  <definedNames>
    <definedName name="CIQWBGuid" hidden="1">"Kellogg Company NYSE K Financials.xls"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42324.5601967593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</definedName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3" i="28" l="1"/>
  <c r="I57" i="28"/>
  <c r="H57" i="28"/>
  <c r="G57" i="28"/>
  <c r="F57" i="28"/>
  <c r="E57" i="28"/>
  <c r="I53" i="28"/>
  <c r="H53" i="28"/>
  <c r="G53" i="28"/>
  <c r="F53" i="28"/>
  <c r="E53" i="28"/>
  <c r="G46" i="28"/>
  <c r="H46" i="28"/>
  <c r="I46" i="28"/>
  <c r="F46" i="28"/>
  <c r="E46" i="28"/>
  <c r="F48" i="28" l="1"/>
  <c r="G48" i="28"/>
  <c r="H48" i="28"/>
  <c r="E48" i="28"/>
  <c r="E49" i="28"/>
  <c r="H42" i="28"/>
  <c r="F49" i="28"/>
  <c r="G49" i="28"/>
  <c r="H49" i="28"/>
  <c r="I49" i="28"/>
  <c r="G42" i="28" l="1"/>
  <c r="F42" i="28"/>
  <c r="E42" i="28"/>
  <c r="E15" i="28" l="1"/>
  <c r="F15" i="28" s="1"/>
  <c r="G15" i="28" s="1"/>
  <c r="H15" i="28" s="1"/>
  <c r="I15" i="28" s="1"/>
  <c r="F43" i="28" l="1"/>
  <c r="F35" i="28"/>
  <c r="E36" i="28" l="1"/>
  <c r="F22" i="28"/>
  <c r="I22" i="28" l="1"/>
  <c r="H22" i="28"/>
  <c r="G43" i="28"/>
  <c r="H43" i="28"/>
  <c r="H35" i="28"/>
  <c r="I35" i="28"/>
  <c r="G35" i="28"/>
  <c r="E43" i="28"/>
  <c r="G22" i="28"/>
  <c r="G27" i="28" s="1"/>
  <c r="E39" i="28" l="1"/>
  <c r="F25" i="28"/>
  <c r="G25" i="28"/>
  <c r="H25" i="28"/>
  <c r="E62" i="28" l="1"/>
  <c r="F33" i="28"/>
  <c r="F32" i="28"/>
  <c r="F31" i="28"/>
  <c r="H33" i="28"/>
  <c r="G33" i="28"/>
  <c r="H27" i="28"/>
  <c r="F27" i="28"/>
  <c r="H32" i="28"/>
  <c r="H31" i="28"/>
  <c r="G32" i="28"/>
  <c r="G31" i="28"/>
  <c r="F62" i="28" l="1"/>
  <c r="G62" i="28" s="1"/>
  <c r="H62" i="28" s="1"/>
  <c r="I62" i="28" s="1"/>
  <c r="J62" i="28" s="1"/>
  <c r="K62" i="28" s="1"/>
  <c r="L62" i="28" s="1"/>
  <c r="M62" i="28" s="1"/>
  <c r="N62" i="28" s="1"/>
  <c r="O62" i="28" s="1"/>
  <c r="P62" i="28" s="1"/>
  <c r="F36" i="28"/>
  <c r="I27" i="28"/>
  <c r="I25" i="28"/>
  <c r="G36" i="28"/>
  <c r="H36" i="28"/>
  <c r="I33" i="28" l="1"/>
  <c r="I32" i="28"/>
  <c r="I31" i="28"/>
  <c r="I29" i="28"/>
  <c r="H29" i="28"/>
  <c r="G29" i="28"/>
  <c r="I36" i="28" l="1"/>
  <c r="F29" i="28"/>
  <c r="F39" i="28" s="1"/>
  <c r="I39" i="28"/>
  <c r="G39" i="28"/>
  <c r="H39" i="28"/>
</calcChain>
</file>

<file path=xl/sharedStrings.xml><?xml version="1.0" encoding="utf-8"?>
<sst xmlns="http://schemas.openxmlformats.org/spreadsheetml/2006/main" count="68" uniqueCount="65">
  <si>
    <t>D&amp;A</t>
  </si>
  <si>
    <t>Projected</t>
  </si>
  <si>
    <t>EBIT</t>
  </si>
  <si>
    <t>Gross Profit</t>
  </si>
  <si>
    <t>Revenues</t>
  </si>
  <si>
    <t>Labor</t>
  </si>
  <si>
    <t>Expected Outcome of Operational Change</t>
  </si>
  <si>
    <t># of Cracker Barrel Express locations introduced:</t>
  </si>
  <si>
    <t>Cracker Barrel Express Revenue</t>
  </si>
  <si>
    <t>Total Revenues</t>
  </si>
  <si>
    <t>COGS</t>
  </si>
  <si>
    <t>Food costs</t>
  </si>
  <si>
    <t>Operating Expenses</t>
  </si>
  <si>
    <t>Commission fees</t>
  </si>
  <si>
    <t>Startup Costs (less CAPEX)</t>
  </si>
  <si>
    <t>Total</t>
  </si>
  <si>
    <t>Capital Expenditures</t>
  </si>
  <si>
    <t>Kitchen &amp; Cooking Equipment</t>
  </si>
  <si>
    <t>Total CAPEX</t>
  </si>
  <si>
    <t>Year 0</t>
  </si>
  <si>
    <t>Year 1</t>
  </si>
  <si>
    <t>Year 2</t>
  </si>
  <si>
    <t>Year 3</t>
  </si>
  <si>
    <t>Year 4</t>
  </si>
  <si>
    <t xml:space="preserve">SG&amp;A </t>
  </si>
  <si>
    <t>List of assumptions</t>
  </si>
  <si>
    <t>SG&amp;A</t>
  </si>
  <si>
    <t>Projected Guests</t>
  </si>
  <si>
    <t>CAPEX</t>
  </si>
  <si>
    <t>Depreciation</t>
  </si>
  <si>
    <t>Discount Rate</t>
  </si>
  <si>
    <t>Tax Rate</t>
  </si>
  <si>
    <t>MTSU 2019 Meal Equivalency Requirement</t>
  </si>
  <si>
    <t xml:space="preserve">Cross checked with reported comparable store revenues for Panera Bread, Noodles &amp; Co., and Einstein's Bagels. Further cross checked with a business owner contact, John Parcells, who owns 3 Jimmy John's stores. </t>
  </si>
  <si>
    <t>Belmont contact - Keith Chapman - head of Auxillary Services and Dining</t>
  </si>
  <si>
    <t xml:space="preserve">Cracker Barrel 10-K page. 26. This is net of lease and depreciation costs. </t>
  </si>
  <si>
    <t>Growth assumption is an average of 5 year pro forma growth estimates for Cracker Barrel baseline revenue. Worst case scenario reflects a decline of 2.5%</t>
  </si>
  <si>
    <t>CBRL 10-K Labor cost of 34.8%</t>
  </si>
  <si>
    <t>Cracker Barrel 10-K Restaurant food cost. Pending estimate of individual items based on suppliers and breakdown from Cracker Barrel</t>
  </si>
  <si>
    <t xml:space="preserve">Calculation </t>
  </si>
  <si>
    <t>10 year straight line estimate of CAPEX. 2018 Cracker Barrel D&amp;A policy is 2-10 year straight line or double declining for restaurant equipment</t>
  </si>
  <si>
    <t>CBLR 10-K page 71</t>
  </si>
  <si>
    <t>CBRL 10-K page 33</t>
  </si>
  <si>
    <t xml:space="preserve">Credability </t>
  </si>
  <si>
    <r>
      <t xml:space="preserve"> - Estimate based on student traffic and number living on campus - projected is an average of best and worst case. </t>
    </r>
    <r>
      <rPr>
        <b/>
        <sz val="10"/>
        <rFont val="Arial"/>
        <family val="2"/>
      </rPr>
      <t>Pending guest traffic cross-check from Rachel Hunter, Student Union Marketing Director</t>
    </r>
    <r>
      <rPr>
        <sz val="10"/>
        <rFont val="Arial"/>
        <family val="2"/>
      </rPr>
      <t xml:space="preserve"> - there are some legal concerns with her giving us the information</t>
    </r>
  </si>
  <si>
    <t>Commission fees to school</t>
  </si>
  <si>
    <t>Growth Assumption</t>
  </si>
  <si>
    <t>Average Meal Price</t>
  </si>
  <si>
    <t>Estimated Revenue per store</t>
  </si>
  <si>
    <t>Net working capital(% of sales)</t>
  </si>
  <si>
    <t>NWC</t>
  </si>
  <si>
    <t>Working calculations</t>
  </si>
  <si>
    <t>Cumulative CAPEX for use in D&amp;A calculation</t>
  </si>
  <si>
    <t>Free Cash Flow</t>
  </si>
  <si>
    <t>FCF = EBIT(1-T)+Depr-CAPEX-DelNWC</t>
  </si>
  <si>
    <t>Payback period calculation</t>
  </si>
  <si>
    <t>Time in years</t>
  </si>
  <si>
    <t>Time in months</t>
  </si>
  <si>
    <t>Cumulative cash</t>
  </si>
  <si>
    <t>Fractional year that cumulative cash become positive</t>
  </si>
  <si>
    <t xml:space="preserve">Payback period in years = </t>
  </si>
  <si>
    <t>IRR calculation assuming operation for 10 years and no growth</t>
  </si>
  <si>
    <t>FCFs</t>
  </si>
  <si>
    <t xml:space="preserve">IRR = </t>
  </si>
  <si>
    <t>Value at end of year 4 of the remaining years of FCF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</si>
</sst>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6" formatCode="&quot;$&quot;#,##0_);[Red]\(&quot;$&quot;#,##0\)"/>
    <numFmt numFmtId="8" formatCode="&quot;$&quot;#,##0.00_);[Red]\(&quot;$&quot;#,##0.0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2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3"/>
      <color indexed="8"/>
      <name val="Verdana"/>
      <family val="2"/>
    </font>
    <font>
      <b/>
      <sz val="12"/>
      <color indexed="8"/>
      <name val="Verdana"/>
      <family val="2"/>
    </font>
    <font>
      <b/>
      <sz val="10"/>
      <color indexed="9"/>
      <name val="Arial"/>
      <family val="2"/>
    </font>
    <font>
      <b/>
      <u val="singleAccounting"/>
      <sz val="8"/>
      <color indexed="8"/>
      <name val="Verdana"/>
      <family val="2"/>
    </font>
    <font>
      <b/>
      <sz val="8"/>
      <color indexed="9"/>
      <name val="Verdana"/>
      <family val="2"/>
    </font>
    <font>
      <b/>
      <u val="singleAccounting"/>
      <sz val="8"/>
      <color indexed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vertAlign val="subscript"/>
      <sz val="8"/>
      <color indexed="8"/>
      <name val="Arial"/>
      <family val="2"/>
    </font>
    <font>
      <b/>
      <sz val="8"/>
      <color indexed="8"/>
      <name val="Arial"/>
      <family val="2"/>
    </font>
    <font>
      <i/>
      <sz val="8"/>
      <color indexed="8"/>
      <name val="Arial"/>
      <family val="2"/>
    </font>
    <font>
      <sz val="1"/>
      <color indexed="9"/>
      <name val="Symbol"/>
      <family val="1"/>
      <charset val="2"/>
    </font>
    <font>
      <sz val="10"/>
      <color indexed="8"/>
      <name val="Arial"/>
      <family val="2"/>
    </font>
    <font>
      <b/>
      <sz val="8"/>
      <color indexed="8"/>
      <name val="Verdana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0"/>
      <name val="Arial"/>
      <family val="2"/>
    </font>
    <font>
      <b/>
      <sz val="11"/>
      <name val="Arial"/>
      <family val="2"/>
    </font>
    <font>
      <sz val="8"/>
      <color theme="0"/>
      <name val="Arial"/>
      <family val="2"/>
    </font>
    <font>
      <b/>
      <sz val="14"/>
      <name val="Arial"/>
      <family val="2"/>
    </font>
    <font>
      <sz val="14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6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9">
    <xf numFmtId="0" fontId="0" fillId="0" borderId="0"/>
    <xf numFmtId="0" fontId="15" fillId="0" borderId="0" applyAlignment="0"/>
    <xf numFmtId="0" fontId="16" fillId="0" borderId="0" applyAlignment="0"/>
    <xf numFmtId="0" fontId="8" fillId="2" borderId="0" applyAlignment="0"/>
    <xf numFmtId="43" fontId="1" fillId="0" borderId="0" applyFont="0" applyFill="0" applyBorder="0" applyAlignment="0" applyProtection="0"/>
    <xf numFmtId="0" fontId="14" fillId="0" borderId="0" applyAlignment="0"/>
    <xf numFmtId="0" fontId="6" fillId="3" borderId="0" applyAlignment="0"/>
    <xf numFmtId="0" fontId="5" fillId="4" borderId="0" applyAlignment="0"/>
    <xf numFmtId="0" fontId="4" fillId="0" borderId="0" applyAlignment="0"/>
    <xf numFmtId="9" fontId="1" fillId="0" borderId="0" applyFont="0" applyFill="0" applyBorder="0" applyAlignment="0" applyProtection="0"/>
    <xf numFmtId="0" fontId="7" fillId="5" borderId="0" applyAlignment="0"/>
    <xf numFmtId="0" fontId="11" fillId="0" borderId="0" applyAlignment="0"/>
    <xf numFmtId="0" fontId="10" fillId="0" borderId="0" applyAlignment="0"/>
    <xf numFmtId="0" fontId="12" fillId="0" borderId="0" applyAlignment="0"/>
    <xf numFmtId="0" fontId="13" fillId="0" borderId="0" applyAlignment="0"/>
    <xf numFmtId="0" fontId="9" fillId="0" borderId="0" applyAlignment="0"/>
    <xf numFmtId="0" fontId="3" fillId="0" borderId="0" applyAlignment="0"/>
    <xf numFmtId="0" fontId="12" fillId="0" borderId="0" applyAlignment="0">
      <alignment wrapText="1"/>
    </xf>
    <xf numFmtId="44" fontId="19" fillId="0" borderId="0" applyFont="0" applyFill="0" applyBorder="0" applyAlignment="0" applyProtection="0"/>
  </cellStyleXfs>
  <cellXfs count="60">
    <xf numFmtId="0" fontId="2" fillId="0" borderId="0" xfId="0" applyFont="1"/>
    <xf numFmtId="0" fontId="17" fillId="0" borderId="0" xfId="0" applyFont="1"/>
    <xf numFmtId="0" fontId="18" fillId="7" borderId="0" xfId="0" applyFont="1" applyFill="1"/>
    <xf numFmtId="0" fontId="2" fillId="6" borderId="0" xfId="0" applyFont="1" applyFill="1"/>
    <xf numFmtId="0" fontId="21" fillId="0" borderId="0" xfId="0" applyFont="1"/>
    <xf numFmtId="0" fontId="21" fillId="0" borderId="2" xfId="0" applyFont="1" applyBorder="1"/>
    <xf numFmtId="0" fontId="2" fillId="0" borderId="2" xfId="0" applyFont="1" applyBorder="1"/>
    <xf numFmtId="164" fontId="17" fillId="0" borderId="0" xfId="4" applyNumberFormat="1" applyFont="1" applyAlignment="1">
      <alignment horizontal="center"/>
    </xf>
    <xf numFmtId="165" fontId="2" fillId="0" borderId="0" xfId="18" applyNumberFormat="1" applyFont="1"/>
    <xf numFmtId="164" fontId="2" fillId="0" borderId="0" xfId="4" applyNumberFormat="1" applyFont="1"/>
    <xf numFmtId="164" fontId="2" fillId="0" borderId="1" xfId="4" applyNumberFormat="1" applyFont="1" applyBorder="1"/>
    <xf numFmtId="164" fontId="2" fillId="0" borderId="4" xfId="4" applyNumberFormat="1" applyFont="1" applyBorder="1"/>
    <xf numFmtId="165" fontId="2" fillId="0" borderId="7" xfId="18" applyNumberFormat="1" applyFont="1" applyBorder="1"/>
    <xf numFmtId="41" fontId="2" fillId="0" borderId="0" xfId="18" applyNumberFormat="1" applyFont="1"/>
    <xf numFmtId="41" fontId="2" fillId="0" borderId="1" xfId="18" applyNumberFormat="1" applyFont="1" applyBorder="1"/>
    <xf numFmtId="0" fontId="2" fillId="0" borderId="0" xfId="0" applyFont="1" applyFill="1"/>
    <xf numFmtId="0" fontId="2" fillId="0" borderId="2" xfId="0" applyFont="1" applyFill="1" applyBorder="1"/>
    <xf numFmtId="41" fontId="2" fillId="0" borderId="0" xfId="18" applyNumberFormat="1" applyFont="1" applyFill="1"/>
    <xf numFmtId="0" fontId="18" fillId="0" borderId="0" xfId="0" applyFont="1" applyFill="1"/>
    <xf numFmtId="165" fontId="2" fillId="0" borderId="0" xfId="18" applyNumberFormat="1" applyFont="1" applyFill="1" applyBorder="1"/>
    <xf numFmtId="0" fontId="1" fillId="0" borderId="0" xfId="0" applyFont="1" applyFill="1"/>
    <xf numFmtId="0" fontId="2" fillId="0" borderId="0" xfId="0" applyFont="1" applyBorder="1"/>
    <xf numFmtId="164" fontId="2" fillId="0" borderId="0" xfId="4" applyNumberFormat="1" applyFont="1" applyFill="1"/>
    <xf numFmtId="165" fontId="2" fillId="0" borderId="0" xfId="18" applyNumberFormat="1" applyFont="1" applyFill="1"/>
    <xf numFmtId="10" fontId="2" fillId="0" borderId="0" xfId="0" applyNumberFormat="1" applyFont="1" applyBorder="1"/>
    <xf numFmtId="0" fontId="18" fillId="8" borderId="0" xfId="0" applyFont="1" applyFill="1"/>
    <xf numFmtId="165" fontId="2" fillId="0" borderId="1" xfId="18" applyNumberFormat="1" applyFont="1" applyFill="1" applyBorder="1"/>
    <xf numFmtId="0" fontId="22" fillId="6" borderId="2" xfId="0" applyFont="1" applyFill="1" applyBorder="1"/>
    <xf numFmtId="0" fontId="2" fillId="0" borderId="0" xfId="0" applyFont="1"/>
    <xf numFmtId="0" fontId="23" fillId="0" borderId="8" xfId="0" applyFont="1" applyFill="1" applyBorder="1"/>
    <xf numFmtId="0" fontId="2" fillId="0" borderId="1" xfId="0" applyFont="1" applyFill="1" applyBorder="1"/>
    <xf numFmtId="6" fontId="2" fillId="0" borderId="0" xfId="0" applyNumberFormat="1" applyFont="1"/>
    <xf numFmtId="8" fontId="2" fillId="0" borderId="0" xfId="0" applyNumberFormat="1" applyFont="1"/>
    <xf numFmtId="0" fontId="1" fillId="0" borderId="5" xfId="0" applyFont="1" applyFill="1" applyBorder="1"/>
    <xf numFmtId="9" fontId="1" fillId="0" borderId="2" xfId="0" applyNumberFormat="1" applyFont="1" applyBorder="1"/>
    <xf numFmtId="0" fontId="1" fillId="0" borderId="9" xfId="0" applyFont="1" applyBorder="1" applyAlignment="1">
      <alignment wrapText="1"/>
    </xf>
    <xf numFmtId="164" fontId="1" fillId="0" borderId="2" xfId="4" applyNumberFormat="1" applyFont="1" applyBorder="1"/>
    <xf numFmtId="0" fontId="1" fillId="0" borderId="10" xfId="0" applyFont="1" applyBorder="1" applyAlignment="1">
      <alignment vertical="center" wrapText="1"/>
    </xf>
    <xf numFmtId="44" fontId="1" fillId="0" borderId="2" xfId="18" applyFont="1" applyBorder="1"/>
    <xf numFmtId="0" fontId="1" fillId="0" borderId="5" xfId="0" applyFont="1" applyBorder="1"/>
    <xf numFmtId="0" fontId="1" fillId="0" borderId="4" xfId="0" applyFont="1" applyFill="1" applyBorder="1"/>
    <xf numFmtId="0" fontId="24" fillId="0" borderId="6" xfId="0" applyFont="1" applyBorder="1"/>
    <xf numFmtId="0" fontId="23" fillId="0" borderId="9" xfId="0" applyFont="1" applyBorder="1" applyAlignment="1">
      <alignment wrapText="1"/>
    </xf>
    <xf numFmtId="44" fontId="1" fillId="0" borderId="3" xfId="18" applyNumberFormat="1" applyFont="1" applyBorder="1"/>
    <xf numFmtId="10" fontId="1" fillId="0" borderId="2" xfId="9" applyNumberFormat="1" applyFont="1" applyBorder="1"/>
    <xf numFmtId="0" fontId="18" fillId="0" borderId="0" xfId="0" applyFont="1"/>
    <xf numFmtId="0" fontId="1" fillId="0" borderId="0" xfId="0" applyFont="1"/>
    <xf numFmtId="0" fontId="2" fillId="9" borderId="0" xfId="0" applyFont="1" applyFill="1"/>
    <xf numFmtId="0" fontId="1" fillId="10" borderId="11" xfId="0" applyFont="1" applyFill="1" applyBorder="1"/>
    <xf numFmtId="0" fontId="2" fillId="10" borderId="12" xfId="0" applyFont="1" applyFill="1" applyBorder="1"/>
    <xf numFmtId="165" fontId="2" fillId="9" borderId="0" xfId="0" applyNumberFormat="1" applyFont="1" applyFill="1"/>
    <xf numFmtId="44" fontId="2" fillId="0" borderId="0" xfId="18" applyFont="1"/>
    <xf numFmtId="44" fontId="2" fillId="9" borderId="0" xfId="0" applyNumberFormat="1" applyFont="1" applyFill="1"/>
    <xf numFmtId="0" fontId="18" fillId="7" borderId="0" xfId="0" applyFont="1" applyFill="1" applyAlignment="1">
      <alignment horizontal="left"/>
    </xf>
    <xf numFmtId="164" fontId="20" fillId="6" borderId="5" xfId="4" applyNumberFormat="1" applyFont="1" applyFill="1" applyBorder="1" applyAlignment="1">
      <alignment horizontal="center"/>
    </xf>
    <xf numFmtId="164" fontId="20" fillId="6" borderId="0" xfId="4" applyNumberFormat="1" applyFont="1" applyFill="1" applyAlignment="1">
      <alignment horizontal="center"/>
    </xf>
    <xf numFmtId="0" fontId="18" fillId="0" borderId="0" xfId="0" applyFont="1" applyFill="1" applyAlignment="1">
      <alignment horizontal="left"/>
    </xf>
    <xf numFmtId="0" fontId="18" fillId="0" borderId="2" xfId="0" applyFont="1" applyFill="1" applyBorder="1" applyAlignment="1">
      <alignment horizontal="left"/>
    </xf>
    <xf numFmtId="10" fontId="2" fillId="9" borderId="0" xfId="0" applyNumberFormat="1" applyFont="1" applyFill="1"/>
    <xf numFmtId="2" fontId="2" fillId="9" borderId="0" xfId="9" applyNumberFormat="1" applyFont="1" applyFill="1"/>
  </cellXfs>
  <cellStyles count="22">
    <cellStyle name="ChartingText" xfId="1"/>
    <cellStyle name="CHPAboveAverage" xfId="2"/>
    <cellStyle name="CHPBelowAverage" xfId="2"/>
    <cellStyle name="CHPBottom" xfId="2"/>
    <cellStyle name="CHPTop" xfId="2"/>
    <cellStyle name="ColumnHeaderNormal" xfId="3"/>
    <cellStyle name="Comma" xfId="4" builtinId="3"/>
    <cellStyle name="Currency" xfId="18" builtinId="4"/>
    <cellStyle name="Invisible" xfId="5"/>
    <cellStyle name="NewColumnHeaderNormal" xfId="6"/>
    <cellStyle name="NewSectionHeaderNormal" xfId="7"/>
    <cellStyle name="NewTitleNormal" xfId="8"/>
    <cellStyle name="Normal" xfId="0" builtinId="0"/>
    <cellStyle name="Percent" xfId="9" builtinId="5"/>
    <cellStyle name="SectionHeaderNormal" xfId="10"/>
    <cellStyle name="SubScript" xfId="11"/>
    <cellStyle name="SuperScript" xfId="12"/>
    <cellStyle name="TextBold" xfId="13"/>
    <cellStyle name="TextItalic" xfId="14"/>
    <cellStyle name="TextNormal" xfId="15"/>
    <cellStyle name="TitleNormal" xfId="16"/>
    <cellStyle name="Total" xfId="17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FA4040"/>
      <rgbColor rgb="00FFFFEB"/>
      <rgbColor rgb="00EEEEEE"/>
      <rgbColor rgb="00F0F0DC"/>
      <rgbColor rgb="00993366"/>
      <rgbColor rgb="00F5F5E1"/>
      <rgbColor rgb="0000408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wrap="none" lIns="18288" tIns="0" rIns="0" bIns="0" upright="1">
        <a:spAutoFit/>
      </a:bodyPr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wrap="none" lIns="18288" tIns="0" rIns="0" bIns="0" upright="1">
        <a:spAutoFit/>
      </a:bodyPr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3"/>
  <sheetViews>
    <sheetView tabSelected="1" topLeftCell="C1" zoomScale="85" zoomScaleNormal="85" workbookViewId="0">
      <selection activeCell="E63" sqref="E63"/>
    </sheetView>
  </sheetViews>
  <sheetFormatPr defaultColWidth="8.85546875" defaultRowHeight="11.25" x14ac:dyDescent="0.2"/>
  <cols>
    <col min="2" max="2" width="50.42578125" bestFit="1" customWidth="1"/>
    <col min="3" max="3" width="19.28515625" customWidth="1"/>
    <col min="4" max="4" width="49.85546875" customWidth="1"/>
    <col min="5" max="5" width="21.42578125" customWidth="1"/>
    <col min="6" max="9" width="19.28515625" customWidth="1"/>
    <col min="10" max="12" width="13.140625" bestFit="1" customWidth="1"/>
    <col min="13" max="13" width="12.5703125" bestFit="1" customWidth="1"/>
    <col min="14" max="15" width="13.140625" bestFit="1" customWidth="1"/>
    <col min="16" max="16" width="12.5703125" bestFit="1" customWidth="1"/>
  </cols>
  <sheetData>
    <row r="1" spans="2:9" x14ac:dyDescent="0.2">
      <c r="B1" s="21"/>
      <c r="C1" s="24"/>
      <c r="D1" s="21"/>
    </row>
    <row r="2" spans="2:9" ht="18" x14ac:dyDescent="0.25">
      <c r="B2" s="29" t="s">
        <v>25</v>
      </c>
      <c r="C2" s="41"/>
      <c r="D2" s="42" t="s">
        <v>43</v>
      </c>
    </row>
    <row r="3" spans="2:9" s="28" customFormat="1" ht="12.75" x14ac:dyDescent="0.2">
      <c r="B3" s="33" t="s">
        <v>31</v>
      </c>
      <c r="C3" s="34">
        <v>0.21</v>
      </c>
      <c r="D3" s="35" t="s">
        <v>42</v>
      </c>
    </row>
    <row r="4" spans="2:9" s="28" customFormat="1" ht="12.75" x14ac:dyDescent="0.2">
      <c r="B4" s="33" t="s">
        <v>30</v>
      </c>
      <c r="C4" s="34">
        <v>0.12</v>
      </c>
      <c r="D4" s="35" t="s">
        <v>41</v>
      </c>
    </row>
    <row r="5" spans="2:9" s="28" customFormat="1" ht="74.25" customHeight="1" thickBot="1" x14ac:dyDescent="0.25">
      <c r="B5" s="33" t="s">
        <v>27</v>
      </c>
      <c r="C5" s="36">
        <v>140000</v>
      </c>
      <c r="D5" s="37" t="s">
        <v>44</v>
      </c>
    </row>
    <row r="6" spans="2:9" s="28" customFormat="1" ht="13.5" thickBot="1" x14ac:dyDescent="0.25">
      <c r="B6" s="33" t="s">
        <v>47</v>
      </c>
      <c r="C6" s="38">
        <v>7</v>
      </c>
      <c r="D6" s="37" t="s">
        <v>32</v>
      </c>
    </row>
    <row r="7" spans="2:9" s="28" customFormat="1" ht="39" thickBot="1" x14ac:dyDescent="0.25">
      <c r="B7" s="33" t="s">
        <v>46</v>
      </c>
      <c r="C7" s="44">
        <v>2.5000000000000001E-2</v>
      </c>
      <c r="D7" s="37" t="s">
        <v>36</v>
      </c>
    </row>
    <row r="8" spans="2:9" s="28" customFormat="1" ht="39" thickBot="1" x14ac:dyDescent="0.25">
      <c r="B8" s="33" t="s">
        <v>10</v>
      </c>
      <c r="C8" s="44">
        <v>0.25700000000000001</v>
      </c>
      <c r="D8" s="37" t="s">
        <v>38</v>
      </c>
    </row>
    <row r="9" spans="2:9" s="28" customFormat="1" ht="26.25" thickBot="1" x14ac:dyDescent="0.25">
      <c r="B9" s="33" t="s">
        <v>26</v>
      </c>
      <c r="C9" s="44">
        <v>4.7E-2</v>
      </c>
      <c r="D9" s="37" t="s">
        <v>35</v>
      </c>
    </row>
    <row r="10" spans="2:9" ht="13.5" thickBot="1" x14ac:dyDescent="0.25">
      <c r="B10" s="39" t="s">
        <v>5</v>
      </c>
      <c r="C10" s="44">
        <v>0.34799999999999998</v>
      </c>
      <c r="D10" s="37" t="s">
        <v>37</v>
      </c>
      <c r="E10" s="1"/>
    </row>
    <row r="11" spans="2:9" s="28" customFormat="1" ht="12.75" x14ac:dyDescent="0.2">
      <c r="B11" s="39" t="s">
        <v>28</v>
      </c>
      <c r="C11" s="38">
        <v>150000</v>
      </c>
      <c r="D11" s="35" t="s">
        <v>39</v>
      </c>
    </row>
    <row r="12" spans="2:9" s="28" customFormat="1" ht="38.25" x14ac:dyDescent="0.2">
      <c r="B12" s="39" t="s">
        <v>29</v>
      </c>
      <c r="C12" s="36">
        <v>15000</v>
      </c>
      <c r="D12" s="35" t="s">
        <v>40</v>
      </c>
    </row>
    <row r="13" spans="2:9" ht="29.25" customHeight="1" thickBot="1" x14ac:dyDescent="0.25">
      <c r="B13" s="39" t="s">
        <v>45</v>
      </c>
      <c r="C13" s="44">
        <v>0.125</v>
      </c>
      <c r="D13" s="37" t="s">
        <v>34</v>
      </c>
    </row>
    <row r="14" spans="2:9" s="28" customFormat="1" ht="69.75" customHeight="1" thickBot="1" x14ac:dyDescent="0.25">
      <c r="B14" s="40" t="s">
        <v>48</v>
      </c>
      <c r="C14" s="43">
        <v>980000</v>
      </c>
      <c r="D14" s="37" t="s">
        <v>33</v>
      </c>
    </row>
    <row r="15" spans="2:9" x14ac:dyDescent="0.2">
      <c r="E15" s="51">
        <f>C6*C5</f>
        <v>980000</v>
      </c>
      <c r="F15" s="32">
        <f>E15*(1+$C$7)</f>
        <v>1004499.9999999999</v>
      </c>
      <c r="G15" s="32">
        <f t="shared" ref="G15:I15" si="0">F15*(1+$C$7)</f>
        <v>1029612.4999999998</v>
      </c>
      <c r="H15" s="32">
        <f t="shared" si="0"/>
        <v>1055352.8124999998</v>
      </c>
      <c r="I15" s="32">
        <f t="shared" si="0"/>
        <v>1081736.6328124998</v>
      </c>
    </row>
    <row r="16" spans="2:9" s="28" customFormat="1" x14ac:dyDescent="0.2">
      <c r="F16" s="31"/>
      <c r="G16" s="31"/>
      <c r="H16" s="31"/>
      <c r="I16" s="31"/>
    </row>
    <row r="17" spans="1:13" x14ac:dyDescent="0.2">
      <c r="E17" s="1" t="s">
        <v>19</v>
      </c>
      <c r="F17" s="1" t="s">
        <v>20</v>
      </c>
      <c r="G17" s="1" t="s">
        <v>21</v>
      </c>
      <c r="H17" s="1" t="s">
        <v>22</v>
      </c>
      <c r="I17" s="1" t="s">
        <v>23</v>
      </c>
    </row>
    <row r="18" spans="1:13" ht="14.25" x14ac:dyDescent="0.2">
      <c r="A18" s="3"/>
      <c r="B18" s="3"/>
      <c r="C18" s="3"/>
      <c r="D18" s="27"/>
      <c r="E18" s="54" t="s">
        <v>1</v>
      </c>
      <c r="F18" s="55"/>
      <c r="G18" s="55"/>
      <c r="H18" s="55"/>
      <c r="I18" s="55"/>
    </row>
    <row r="19" spans="1:13" ht="15" x14ac:dyDescent="0.25">
      <c r="B19" s="4" t="s">
        <v>6</v>
      </c>
      <c r="C19" s="1"/>
      <c r="D19" s="5">
        <v>2018</v>
      </c>
      <c r="E19" s="4">
        <v>2019</v>
      </c>
      <c r="F19" s="4">
        <v>2020</v>
      </c>
      <c r="G19" s="4">
        <v>2021</v>
      </c>
      <c r="H19" s="4">
        <v>2022</v>
      </c>
      <c r="I19" s="4">
        <v>2023</v>
      </c>
    </row>
    <row r="20" spans="1:13" x14ac:dyDescent="0.2">
      <c r="B20" t="s">
        <v>7</v>
      </c>
      <c r="D20" s="6"/>
      <c r="E20" s="7">
        <v>0</v>
      </c>
      <c r="F20" s="7">
        <v>5</v>
      </c>
      <c r="G20" s="7">
        <v>10</v>
      </c>
      <c r="H20" s="7">
        <v>15</v>
      </c>
      <c r="I20" s="7">
        <v>20</v>
      </c>
    </row>
    <row r="21" spans="1:13" ht="12.75" x14ac:dyDescent="0.2">
      <c r="B21" s="53" t="s">
        <v>4</v>
      </c>
      <c r="C21" s="53"/>
      <c r="D21" s="53"/>
      <c r="E21" s="53"/>
      <c r="F21" s="53"/>
      <c r="G21" s="53"/>
      <c r="H21" s="53"/>
      <c r="I21" s="53"/>
    </row>
    <row r="22" spans="1:13" s="15" customFormat="1" x14ac:dyDescent="0.2">
      <c r="B22" s="15" t="s">
        <v>8</v>
      </c>
      <c r="D22" s="16"/>
      <c r="E22" s="23">
        <v>0</v>
      </c>
      <c r="F22" s="23">
        <f>(980000/2)*F20</f>
        <v>2450000</v>
      </c>
      <c r="G22" s="23">
        <f>(980000*(1+$C$7))*G20</f>
        <v>10044999.999999998</v>
      </c>
      <c r="H22" s="23">
        <f>(980000*(1+$C$7)^2)*H20</f>
        <v>15444187.499999998</v>
      </c>
      <c r="I22" s="23">
        <f>(980000*(1+$C$7)^3)*I20</f>
        <v>21107056.249999996</v>
      </c>
      <c r="J22" s="22"/>
      <c r="K22" s="22"/>
      <c r="L22" s="22"/>
      <c r="M22" s="22"/>
    </row>
    <row r="23" spans="1:13" s="15" customFormat="1" x14ac:dyDescent="0.2">
      <c r="D23" s="16"/>
      <c r="E23" s="17"/>
      <c r="F23" s="17"/>
      <c r="G23" s="17"/>
      <c r="H23" s="17"/>
      <c r="I23" s="17"/>
      <c r="K23" s="22"/>
      <c r="L23" s="22"/>
      <c r="M23" s="22"/>
    </row>
    <row r="24" spans="1:13" x14ac:dyDescent="0.2">
      <c r="D24" s="6"/>
      <c r="E24" s="14"/>
      <c r="F24" s="14"/>
      <c r="G24" s="14"/>
      <c r="H24" s="14"/>
      <c r="I24" s="14"/>
    </row>
    <row r="25" spans="1:13" x14ac:dyDescent="0.2">
      <c r="B25" t="s">
        <v>9</v>
      </c>
      <c r="D25" s="6"/>
      <c r="E25" s="8">
        <v>0</v>
      </c>
      <c r="F25" s="13">
        <f t="shared" ref="F25:I25" si="1">SUM(F22:F23)</f>
        <v>2450000</v>
      </c>
      <c r="G25" s="13">
        <f t="shared" si="1"/>
        <v>10044999.999999998</v>
      </c>
      <c r="H25" s="13">
        <f t="shared" si="1"/>
        <v>15444187.499999998</v>
      </c>
      <c r="I25" s="13">
        <f t="shared" si="1"/>
        <v>21107056.249999996</v>
      </c>
    </row>
    <row r="26" spans="1:13" ht="12.75" x14ac:dyDescent="0.2">
      <c r="B26" s="53" t="s">
        <v>10</v>
      </c>
      <c r="C26" s="53"/>
      <c r="D26" s="53"/>
      <c r="E26" s="53"/>
      <c r="F26" s="53"/>
      <c r="G26" s="53"/>
      <c r="H26" s="53"/>
      <c r="I26" s="53"/>
    </row>
    <row r="27" spans="1:13" x14ac:dyDescent="0.2">
      <c r="B27" t="s">
        <v>11</v>
      </c>
      <c r="D27" s="6"/>
      <c r="E27" s="9">
        <v>0</v>
      </c>
      <c r="F27" s="9">
        <f>F25*$C$8</f>
        <v>629650</v>
      </c>
      <c r="G27" s="9">
        <f>G22*$C$8</f>
        <v>2581564.9999999995</v>
      </c>
      <c r="H27" s="9">
        <f>H22*$C$8</f>
        <v>3969156.1874999995</v>
      </c>
      <c r="I27" s="9">
        <f>I22*$C$8</f>
        <v>5424513.4562499989</v>
      </c>
    </row>
    <row r="28" spans="1:13" x14ac:dyDescent="0.2">
      <c r="D28" s="6"/>
      <c r="E28" s="10"/>
      <c r="F28" s="10"/>
      <c r="G28" s="10"/>
      <c r="H28" s="10"/>
      <c r="I28" s="10"/>
    </row>
    <row r="29" spans="1:13" ht="12.75" x14ac:dyDescent="0.2">
      <c r="B29" s="56" t="s">
        <v>3</v>
      </c>
      <c r="C29" s="56"/>
      <c r="D29" s="57"/>
      <c r="E29" s="8">
        <v>0</v>
      </c>
      <c r="F29" s="8">
        <f t="shared" ref="F29:I29" si="2">F25-F27</f>
        <v>1820350</v>
      </c>
      <c r="G29" s="8">
        <f t="shared" si="2"/>
        <v>7463434.9999999981</v>
      </c>
      <c r="H29" s="8">
        <f t="shared" si="2"/>
        <v>11475031.312499998</v>
      </c>
      <c r="I29" s="8">
        <f t="shared" si="2"/>
        <v>15682542.793749997</v>
      </c>
    </row>
    <row r="30" spans="1:13" ht="12.75" x14ac:dyDescent="0.2">
      <c r="B30" s="53" t="s">
        <v>12</v>
      </c>
      <c r="C30" s="53"/>
      <c r="D30" s="53"/>
      <c r="E30" s="53"/>
      <c r="F30" s="53"/>
      <c r="G30" s="53"/>
      <c r="H30" s="53"/>
      <c r="I30" s="53"/>
    </row>
    <row r="31" spans="1:13" x14ac:dyDescent="0.2">
      <c r="B31" t="s">
        <v>5</v>
      </c>
      <c r="D31" s="6"/>
      <c r="E31" s="9">
        <v>0</v>
      </c>
      <c r="F31" s="9">
        <f>F25*$C$10</f>
        <v>852599.99999999988</v>
      </c>
      <c r="G31" s="9">
        <f>G25*$C$10</f>
        <v>3495659.9999999991</v>
      </c>
      <c r="H31" s="9">
        <f>H25*$C$10</f>
        <v>5374577.2499999991</v>
      </c>
      <c r="I31" s="9">
        <f>I25*$C$10</f>
        <v>7345255.5749999983</v>
      </c>
    </row>
    <row r="32" spans="1:13" s="15" customFormat="1" x14ac:dyDescent="0.2">
      <c r="B32" s="15" t="s">
        <v>24</v>
      </c>
      <c r="D32" s="16"/>
      <c r="E32" s="22">
        <v>0</v>
      </c>
      <c r="F32" s="22">
        <f>F25*$C$9</f>
        <v>115150</v>
      </c>
      <c r="G32" s="22">
        <f>G25*$C$9</f>
        <v>472114.99999999994</v>
      </c>
      <c r="H32" s="22">
        <f>H25*$C$9</f>
        <v>725876.81249999988</v>
      </c>
      <c r="I32" s="22">
        <f>I25*$C$9</f>
        <v>992031.64374999981</v>
      </c>
    </row>
    <row r="33" spans="2:16" s="15" customFormat="1" x14ac:dyDescent="0.2">
      <c r="B33" s="15" t="s">
        <v>13</v>
      </c>
      <c r="D33" s="16"/>
      <c r="E33" s="22">
        <v>0</v>
      </c>
      <c r="F33" s="22">
        <f>F25*$C$13</f>
        <v>306250</v>
      </c>
      <c r="G33" s="22">
        <f t="shared" ref="G33:I33" si="3">G25*$C$13</f>
        <v>1255624.9999999998</v>
      </c>
      <c r="H33" s="22">
        <f t="shared" si="3"/>
        <v>1930523.4374999998</v>
      </c>
      <c r="I33" s="22">
        <f t="shared" si="3"/>
        <v>2638382.0312499995</v>
      </c>
    </row>
    <row r="34" spans="2:16" s="15" customFormat="1" x14ac:dyDescent="0.2">
      <c r="B34" s="15" t="s">
        <v>14</v>
      </c>
      <c r="D34" s="16"/>
      <c r="E34" s="22">
        <v>215000</v>
      </c>
      <c r="F34" s="22">
        <v>215000</v>
      </c>
      <c r="G34" s="22">
        <v>215000</v>
      </c>
      <c r="H34" s="22">
        <v>215000</v>
      </c>
    </row>
    <row r="35" spans="2:16" x14ac:dyDescent="0.2">
      <c r="B35" t="s">
        <v>0</v>
      </c>
      <c r="E35" s="11">
        <v>0</v>
      </c>
      <c r="F35" s="11">
        <f>15000*F20</f>
        <v>75000</v>
      </c>
      <c r="G35" s="11">
        <f>15000*G20</f>
        <v>150000</v>
      </c>
      <c r="H35" s="11">
        <f t="shared" ref="H35:I35" si="4">15000*H20</f>
        <v>225000</v>
      </c>
      <c r="I35" s="11">
        <f t="shared" si="4"/>
        <v>300000</v>
      </c>
    </row>
    <row r="36" spans="2:16" x14ac:dyDescent="0.2">
      <c r="B36" s="1" t="s">
        <v>15</v>
      </c>
      <c r="D36" s="6"/>
      <c r="E36" s="8">
        <f>E34</f>
        <v>215000</v>
      </c>
      <c r="F36" s="8">
        <f>SUM(F31:F35)</f>
        <v>1564000</v>
      </c>
      <c r="G36" s="8">
        <f>SUM(G31:G35)</f>
        <v>5588399.9999999991</v>
      </c>
      <c r="H36" s="8">
        <f>SUM(H31:H35)</f>
        <v>8470977.5</v>
      </c>
      <c r="I36" s="8">
        <f>SUM(I31:I35)</f>
        <v>11275669.249999998</v>
      </c>
    </row>
    <row r="37" spans="2:16" x14ac:dyDescent="0.2">
      <c r="D37" s="6"/>
    </row>
    <row r="38" spans="2:16" x14ac:dyDescent="0.2">
      <c r="D38" s="6"/>
    </row>
    <row r="39" spans="2:16" ht="13.5" thickBot="1" x14ac:dyDescent="0.25">
      <c r="B39" s="2" t="s">
        <v>2</v>
      </c>
      <c r="D39" s="6"/>
      <c r="E39" s="12">
        <f>E29-E36</f>
        <v>-215000</v>
      </c>
      <c r="F39" s="12">
        <f>F29-F36</f>
        <v>256350</v>
      </c>
      <c r="G39" s="12">
        <f>G29-G36</f>
        <v>1875034.9999999991</v>
      </c>
      <c r="H39" s="12">
        <f>H29-H36</f>
        <v>3004053.8124999981</v>
      </c>
      <c r="I39" s="12">
        <f>I29-I36</f>
        <v>4406873.5437499993</v>
      </c>
    </row>
    <row r="40" spans="2:16" s="15" customFormat="1" ht="13.5" thickTop="1" x14ac:dyDescent="0.2">
      <c r="B40" s="18"/>
      <c r="D40" s="16"/>
      <c r="E40" s="19"/>
      <c r="F40" s="19"/>
      <c r="G40" s="19"/>
      <c r="H40" s="19"/>
      <c r="I40" s="19"/>
    </row>
    <row r="41" spans="2:16" s="15" customFormat="1" ht="12.75" x14ac:dyDescent="0.2">
      <c r="B41" s="18" t="s">
        <v>16</v>
      </c>
      <c r="D41" s="16"/>
      <c r="E41" s="19"/>
      <c r="F41" s="19"/>
      <c r="G41" s="19"/>
      <c r="H41" s="19"/>
      <c r="I41" s="19"/>
    </row>
    <row r="42" spans="2:16" s="15" customFormat="1" ht="12.75" x14ac:dyDescent="0.2">
      <c r="B42" s="20" t="s">
        <v>17</v>
      </c>
      <c r="D42" s="16"/>
      <c r="E42" s="26">
        <f>C11*F20</f>
        <v>750000</v>
      </c>
      <c r="F42" s="26">
        <f>$C$11*(G20-F20)</f>
        <v>750000</v>
      </c>
      <c r="G42" s="26">
        <f t="shared" ref="G42" si="5">$C$11*(H20-G20)</f>
        <v>750000</v>
      </c>
      <c r="H42" s="26">
        <f>$C$11*(I20-H20)</f>
        <v>750000</v>
      </c>
      <c r="I42" s="30"/>
    </row>
    <row r="43" spans="2:16" s="15" customFormat="1" ht="12.75" x14ac:dyDescent="0.2">
      <c r="B43" s="25" t="s">
        <v>18</v>
      </c>
      <c r="D43" s="16"/>
      <c r="E43" s="19">
        <f>E42</f>
        <v>750000</v>
      </c>
      <c r="F43" s="19">
        <f>F42</f>
        <v>750000</v>
      </c>
      <c r="G43" s="19">
        <f t="shared" ref="G43:H43" si="6">G42</f>
        <v>750000</v>
      </c>
      <c r="H43" s="19">
        <f t="shared" si="6"/>
        <v>750000</v>
      </c>
      <c r="I43" s="19"/>
    </row>
    <row r="44" spans="2:16" s="15" customFormat="1" ht="12.75" x14ac:dyDescent="0.2">
      <c r="B44" s="20"/>
      <c r="D44" s="16"/>
      <c r="E44" s="19"/>
      <c r="F44" s="19"/>
      <c r="G44" s="19"/>
      <c r="H44" s="19"/>
      <c r="I44" s="19"/>
    </row>
    <row r="45" spans="2:16" x14ac:dyDescent="0.2">
      <c r="D45" s="6"/>
    </row>
    <row r="46" spans="2:16" ht="12.75" x14ac:dyDescent="0.2">
      <c r="C46" s="45" t="s">
        <v>49</v>
      </c>
      <c r="D46" s="28"/>
      <c r="E46" s="58">
        <f>E25</f>
        <v>0</v>
      </c>
      <c r="F46" s="58">
        <f>F43/F25</f>
        <v>0.30612244897959184</v>
      </c>
      <c r="G46" s="58">
        <f t="shared" ref="G46:I46" si="7">G43/G25</f>
        <v>7.4664011946241921E-2</v>
      </c>
      <c r="H46" s="58">
        <f t="shared" si="7"/>
        <v>4.8561958989425641E-2</v>
      </c>
      <c r="I46" s="58">
        <f t="shared" si="7"/>
        <v>0</v>
      </c>
      <c r="J46" s="28"/>
      <c r="K46" s="28"/>
      <c r="L46" s="28"/>
      <c r="M46" s="28"/>
      <c r="N46" s="28"/>
      <c r="O46" s="28"/>
      <c r="P46" s="28"/>
    </row>
    <row r="47" spans="2:16" ht="12.75" x14ac:dyDescent="0.2">
      <c r="C47" s="46" t="s">
        <v>50</v>
      </c>
      <c r="D47" s="28"/>
      <c r="E47" s="47"/>
      <c r="F47" s="47"/>
      <c r="G47" s="47"/>
      <c r="H47" s="47"/>
      <c r="I47" s="47"/>
      <c r="J47" s="28"/>
      <c r="K47" s="28"/>
      <c r="L47" s="28"/>
      <c r="M47" s="28"/>
      <c r="N47" s="28"/>
      <c r="O47" s="28"/>
      <c r="P47" s="28"/>
    </row>
    <row r="48" spans="2:16" ht="12.75" x14ac:dyDescent="0.2">
      <c r="C48" s="45" t="s">
        <v>51</v>
      </c>
      <c r="D48" s="28"/>
      <c r="E48" s="50">
        <f>E42</f>
        <v>750000</v>
      </c>
      <c r="F48" s="50">
        <f t="shared" ref="F48:H48" si="8">F42</f>
        <v>750000</v>
      </c>
      <c r="G48" s="50">
        <f t="shared" si="8"/>
        <v>750000</v>
      </c>
      <c r="H48" s="50">
        <f t="shared" si="8"/>
        <v>750000</v>
      </c>
      <c r="I48" s="47"/>
      <c r="J48" s="28"/>
      <c r="K48" s="28"/>
      <c r="L48" s="28"/>
      <c r="M48" s="28"/>
      <c r="N48" s="28"/>
      <c r="O48" s="28"/>
      <c r="P48" s="28"/>
    </row>
    <row r="49" spans="1:16" ht="12.75" x14ac:dyDescent="0.2">
      <c r="C49" s="46" t="s">
        <v>52</v>
      </c>
      <c r="D49" s="28"/>
      <c r="E49" s="50">
        <f>E43</f>
        <v>750000</v>
      </c>
      <c r="F49" s="50">
        <f t="shared" ref="F49:I49" si="9">F43</f>
        <v>750000</v>
      </c>
      <c r="G49" s="50">
        <f t="shared" si="9"/>
        <v>750000</v>
      </c>
      <c r="H49" s="50">
        <f t="shared" si="9"/>
        <v>750000</v>
      </c>
      <c r="I49" s="50">
        <f t="shared" si="9"/>
        <v>0</v>
      </c>
      <c r="J49" s="28"/>
      <c r="K49" s="28"/>
      <c r="L49" s="28"/>
      <c r="M49" s="28"/>
      <c r="N49" s="28"/>
      <c r="O49" s="28"/>
      <c r="P49" s="28"/>
    </row>
    <row r="50" spans="1:16" ht="12.75" x14ac:dyDescent="0.2">
      <c r="C50" s="46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</row>
    <row r="51" spans="1:16" ht="12.75" x14ac:dyDescent="0.2">
      <c r="C51" s="45" t="s">
        <v>53</v>
      </c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</row>
    <row r="52" spans="1:16" ht="12.75" x14ac:dyDescent="0.2">
      <c r="C52" s="46" t="s">
        <v>54</v>
      </c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</row>
    <row r="53" spans="1:16" ht="12.75" x14ac:dyDescent="0.2">
      <c r="C53" s="46"/>
      <c r="D53" s="28"/>
      <c r="E53" s="50">
        <f>E39*(1-C3)+C12-E43-E47</f>
        <v>-904850</v>
      </c>
      <c r="F53" s="50">
        <f>F39*(1-C3)+C12-F43-F47</f>
        <v>-532483.5</v>
      </c>
      <c r="G53" s="52">
        <f>G39*(1-C3)+C12-G43-G47</f>
        <v>746277.64999999944</v>
      </c>
      <c r="H53" s="50">
        <f>H39*(1-C3)+C12-H43-H47</f>
        <v>1638202.5118749985</v>
      </c>
      <c r="I53" s="50">
        <f>I39*(1-C3)+C12-I43-I47</f>
        <v>3496430.0995624997</v>
      </c>
      <c r="J53" s="28"/>
      <c r="K53" s="28"/>
      <c r="L53" s="28"/>
      <c r="M53" s="28"/>
      <c r="N53" s="28"/>
      <c r="O53" s="28"/>
      <c r="P53" s="28"/>
    </row>
    <row r="54" spans="1:16" ht="12.75" x14ac:dyDescent="0.2">
      <c r="C54" s="45" t="s">
        <v>55</v>
      </c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</row>
    <row r="55" spans="1:16" ht="12.75" x14ac:dyDescent="0.2">
      <c r="C55" s="46" t="s">
        <v>56</v>
      </c>
      <c r="D55" s="28"/>
      <c r="E55" s="47">
        <v>1</v>
      </c>
      <c r="F55" s="47">
        <v>2</v>
      </c>
      <c r="G55" s="47">
        <v>3</v>
      </c>
      <c r="H55" s="47">
        <v>4</v>
      </c>
      <c r="I55" s="47" t="s">
        <v>64</v>
      </c>
      <c r="J55" s="28"/>
      <c r="K55" s="28"/>
      <c r="L55" s="28"/>
      <c r="M55" s="28"/>
      <c r="N55" s="28"/>
      <c r="O55" s="28"/>
      <c r="P55" s="28"/>
    </row>
    <row r="56" spans="1:16" ht="12.75" x14ac:dyDescent="0.2">
      <c r="A56" s="3"/>
      <c r="C56" s="46" t="s">
        <v>57</v>
      </c>
      <c r="D56" s="28"/>
      <c r="E56" s="47">
        <v>12</v>
      </c>
      <c r="F56" s="47">
        <v>24</v>
      </c>
      <c r="G56" s="47">
        <v>36</v>
      </c>
      <c r="H56" s="47">
        <v>48</v>
      </c>
      <c r="I56" s="47"/>
      <c r="J56" s="28"/>
      <c r="K56" s="28"/>
      <c r="L56" s="28"/>
      <c r="M56" s="28"/>
      <c r="N56" s="28"/>
      <c r="O56" s="28"/>
      <c r="P56" s="28"/>
    </row>
    <row r="57" spans="1:16" ht="12.75" x14ac:dyDescent="0.2">
      <c r="C57" s="46" t="s">
        <v>58</v>
      </c>
      <c r="D57" s="28"/>
      <c r="E57" s="50">
        <f>E53</f>
        <v>-904850</v>
      </c>
      <c r="F57" s="50">
        <f>E57+F53</f>
        <v>-1437333.5</v>
      </c>
      <c r="G57" s="52">
        <f>F57+G53</f>
        <v>-691055.85000000056</v>
      </c>
      <c r="H57" s="52">
        <f>G57+H53</f>
        <v>947146.6618749979</v>
      </c>
      <c r="I57" s="52">
        <f>H57+I53</f>
        <v>4443576.761437498</v>
      </c>
      <c r="J57" s="28"/>
      <c r="K57" s="28"/>
      <c r="L57" s="28"/>
      <c r="M57" s="28"/>
      <c r="N57" s="28"/>
      <c r="O57" s="28"/>
      <c r="P57" s="28"/>
    </row>
    <row r="58" spans="1:16" ht="12.75" x14ac:dyDescent="0.2">
      <c r="C58" s="46" t="s">
        <v>59</v>
      </c>
      <c r="D58" s="28"/>
      <c r="E58" s="47"/>
      <c r="F58" s="47"/>
      <c r="G58" s="47"/>
      <c r="H58" s="47">
        <v>4</v>
      </c>
      <c r="I58" s="47"/>
      <c r="J58" s="28"/>
      <c r="K58" s="28"/>
      <c r="L58" s="28"/>
      <c r="M58" s="28"/>
      <c r="N58" s="28"/>
      <c r="O58" s="28"/>
      <c r="P58" s="28"/>
    </row>
    <row r="59" spans="1:16" ht="12.75" x14ac:dyDescent="0.2">
      <c r="C59" s="48" t="s">
        <v>60</v>
      </c>
      <c r="D59" s="49"/>
      <c r="E59" s="28">
        <v>1</v>
      </c>
      <c r="F59" s="28">
        <v>2</v>
      </c>
      <c r="G59" s="28">
        <v>3</v>
      </c>
      <c r="H59" s="28">
        <v>4</v>
      </c>
      <c r="I59" s="28" t="s">
        <v>64</v>
      </c>
      <c r="J59" s="28"/>
      <c r="K59" s="28"/>
      <c r="L59" s="28"/>
      <c r="M59" s="28"/>
      <c r="N59" s="28"/>
      <c r="O59" s="28"/>
      <c r="P59" s="28"/>
    </row>
    <row r="60" spans="1:16" ht="12.75" x14ac:dyDescent="0.2">
      <c r="C60" s="46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</row>
    <row r="61" spans="1:16" ht="12.75" x14ac:dyDescent="0.2">
      <c r="C61" s="45" t="s">
        <v>61</v>
      </c>
      <c r="D61" s="28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</row>
    <row r="62" spans="1:16" ht="12.75" x14ac:dyDescent="0.2">
      <c r="C62" s="46" t="s">
        <v>62</v>
      </c>
      <c r="D62" s="28"/>
      <c r="E62" s="50">
        <f>E53</f>
        <v>-904850</v>
      </c>
      <c r="F62" s="52">
        <f>E62*(1+$C$7)</f>
        <v>-927471.24999999988</v>
      </c>
      <c r="G62" s="52">
        <f t="shared" ref="G62:P62" si="10">F62*(1+$C$7)</f>
        <v>-950658.03124999977</v>
      </c>
      <c r="H62" s="52">
        <f t="shared" si="10"/>
        <v>-974424.48203124967</v>
      </c>
      <c r="I62" s="52">
        <f t="shared" si="10"/>
        <v>-998785.09408203082</v>
      </c>
      <c r="J62" s="52">
        <f t="shared" si="10"/>
        <v>-1023754.7214340816</v>
      </c>
      <c r="K62" s="52">
        <f t="shared" si="10"/>
        <v>-1049348.5894699334</v>
      </c>
      <c r="L62" s="52">
        <f t="shared" si="10"/>
        <v>-1075582.3042066817</v>
      </c>
      <c r="M62" s="52">
        <f t="shared" si="10"/>
        <v>-1102471.8618118486</v>
      </c>
      <c r="N62" s="52">
        <f t="shared" si="10"/>
        <v>-1130033.6583571448</v>
      </c>
      <c r="O62" s="52">
        <f t="shared" si="10"/>
        <v>-1158284.4998160733</v>
      </c>
      <c r="P62" s="52">
        <f t="shared" si="10"/>
        <v>-1187241.612311475</v>
      </c>
    </row>
    <row r="63" spans="1:16" ht="12.75" x14ac:dyDescent="0.2">
      <c r="C63" s="48" t="s">
        <v>63</v>
      </c>
      <c r="D63" s="49"/>
      <c r="E63" s="59" t="e">
        <f>IRR(E62:P62)</f>
        <v>#NUM!</v>
      </c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</row>
  </sheetData>
  <mergeCells count="5">
    <mergeCell ref="B30:I30"/>
    <mergeCell ref="E18:I18"/>
    <mergeCell ref="B21:I21"/>
    <mergeCell ref="B26:I26"/>
    <mergeCell ref="B29:D29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97192426F91349A83E8D3213306168" ma:contentTypeVersion="2" ma:contentTypeDescription="Create a new document." ma:contentTypeScope="" ma:versionID="c7a3014cdab1c9b3aeeeca07bc0e234d">
  <xsd:schema xmlns:xsd="http://www.w3.org/2001/XMLSchema" xmlns:xs="http://www.w3.org/2001/XMLSchema" xmlns:p="http://schemas.microsoft.com/office/2006/metadata/properties" xmlns:ns2="28381306-bbf5-41ca-8124-18e4d0222012" targetNamespace="http://schemas.microsoft.com/office/2006/metadata/properties" ma:root="true" ma:fieldsID="9cbf50947fa69c7cc6f676d739f38c29" ns2:_="">
    <xsd:import namespace="28381306-bbf5-41ca-8124-18e4d02220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381306-bbf5-41ca-8124-18e4d02220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0039330-61DB-4E5A-A116-D89134AF4CB0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28381306-bbf5-41ca-8124-18e4d0222012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3EAB317-D6B3-4058-A678-2F0E2632D0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381306-bbf5-41ca-8124-18e4d02220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A8E40C1-16CA-4471-9F24-69D6577322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Build up Model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2004-07-20T21:40:42Z</dcterms:created>
  <dcterms:modified xsi:type="dcterms:W3CDTF">2020-10-02T21:17:40Z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 By">
    <vt:lpwstr>SoftArtisans OfficeWriter for Excel 8.6.2.281 (http://officewriter.softartisans.com)</vt:lpwstr>
  </property>
  <property fmtid="{D5CDD505-2E9C-101B-9397-08002B2CF9AE}" pid="3" name="ContentTypeId">
    <vt:lpwstr>0x0101005497192426F91349A83E8D3213306168</vt:lpwstr>
  </property>
</Properties>
</file>