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6765" tabRatio="408" firstSheet="2" activeTab="8"/>
  </bookViews>
  <sheets>
    <sheet name="Outline" sheetId="1" r:id="rId1"/>
    <sheet name="1" sheetId="3" r:id="rId2"/>
    <sheet name="2" sheetId="4" r:id="rId3"/>
    <sheet name="3" sheetId="6" r:id="rId4"/>
    <sheet name="4" sheetId="5" r:id="rId5"/>
    <sheet name="5" sheetId="9" r:id="rId6"/>
    <sheet name="6" sheetId="8" r:id="rId7"/>
    <sheet name="7" sheetId="11" r:id="rId8"/>
    <sheet name="Scenario Summary 2" sheetId="14" r:id="rId9"/>
    <sheet name="8" sheetId="12" r:id="rId10"/>
  </sheets>
  <calcPr calcId="152511"/>
</workbook>
</file>

<file path=xl/calcChain.xml><?xml version="1.0" encoding="utf-8"?>
<calcChain xmlns="http://schemas.openxmlformats.org/spreadsheetml/2006/main">
  <c r="B56" i="12" l="1"/>
  <c r="M46" i="12"/>
  <c r="B61" i="12"/>
  <c r="B64" i="12" l="1"/>
  <c r="A76" i="12"/>
  <c r="A75" i="12"/>
  <c r="B66" i="12"/>
  <c r="A74" i="12"/>
  <c r="A73" i="12"/>
  <c r="A72" i="12"/>
  <c r="B60" i="12"/>
  <c r="B59" i="12"/>
  <c r="B58" i="12"/>
  <c r="B57" i="12"/>
  <c r="C52" i="12"/>
  <c r="D52" i="12"/>
  <c r="E52" i="12"/>
  <c r="F52" i="12"/>
  <c r="G52" i="12"/>
  <c r="H15" i="12"/>
  <c r="H16" i="12"/>
  <c r="H18" i="12"/>
  <c r="H19" i="12"/>
  <c r="H29" i="12"/>
  <c r="H33" i="12"/>
  <c r="H17" i="12" s="1"/>
  <c r="H36" i="12"/>
  <c r="H37" i="12"/>
  <c r="H39" i="12"/>
  <c r="C51" i="12"/>
  <c r="D51" i="12"/>
  <c r="E51" i="12"/>
  <c r="F51" i="12"/>
  <c r="B52" i="12"/>
  <c r="C50" i="12"/>
  <c r="D50" i="12"/>
  <c r="E50" i="12"/>
  <c r="F50" i="12"/>
  <c r="G50" i="12"/>
  <c r="C49" i="12"/>
  <c r="D49" i="12"/>
  <c r="E49" i="12"/>
  <c r="F49" i="12"/>
  <c r="G49" i="12"/>
  <c r="C48" i="12"/>
  <c r="D48" i="12"/>
  <c r="E48" i="12"/>
  <c r="F48" i="12"/>
  <c r="G48" i="12"/>
  <c r="D29" i="12"/>
  <c r="E29" i="12"/>
  <c r="F29" i="12"/>
  <c r="G29" i="12"/>
  <c r="D33" i="12"/>
  <c r="D17" i="12" s="1"/>
  <c r="E33" i="12"/>
  <c r="E31" i="12" s="1"/>
  <c r="F33" i="12"/>
  <c r="G33" i="12"/>
  <c r="F34" i="12"/>
  <c r="G34" i="12"/>
  <c r="D36" i="12"/>
  <c r="E36" i="12"/>
  <c r="F36" i="12"/>
  <c r="G36" i="12"/>
  <c r="D37" i="12"/>
  <c r="E37" i="12" s="1"/>
  <c r="D39" i="12"/>
  <c r="E39" i="12" s="1"/>
  <c r="F39" i="12" s="1"/>
  <c r="G39" i="12" s="1"/>
  <c r="D19" i="12"/>
  <c r="E19" i="12"/>
  <c r="G19" i="12"/>
  <c r="C18" i="12"/>
  <c r="E17" i="12"/>
  <c r="E32" i="12" s="1"/>
  <c r="F17" i="12"/>
  <c r="F32" i="12" s="1"/>
  <c r="G17" i="12"/>
  <c r="E16" i="12"/>
  <c r="F16" i="12"/>
  <c r="G16" i="12"/>
  <c r="D16" i="12"/>
  <c r="D15" i="12"/>
  <c r="E15" i="12"/>
  <c r="F15" i="12" s="1"/>
  <c r="G15" i="12" s="1"/>
  <c r="C19" i="12"/>
  <c r="C36" i="12"/>
  <c r="C39" i="12"/>
  <c r="B80" i="12"/>
  <c r="C15" i="12"/>
  <c r="C16" i="12" s="1"/>
  <c r="H32" i="12" l="1"/>
  <c r="H31" i="12" s="1"/>
  <c r="H20" i="12"/>
  <c r="H34" i="12"/>
  <c r="D32" i="12"/>
  <c r="F37" i="12"/>
  <c r="E18" i="12"/>
  <c r="F31" i="12"/>
  <c r="E20" i="12"/>
  <c r="G32" i="12"/>
  <c r="G31" i="12" s="1"/>
  <c r="D34" i="12"/>
  <c r="D31" i="12"/>
  <c r="D18" i="12"/>
  <c r="D20" i="12" s="1"/>
  <c r="M47" i="12"/>
  <c r="M48" i="12" s="1"/>
  <c r="M49" i="12" s="1"/>
  <c r="M50" i="12" s="1"/>
  <c r="G51" i="12" l="1"/>
  <c r="H22" i="12"/>
  <c r="H21" i="12"/>
  <c r="D21" i="12"/>
  <c r="D22" i="12" s="1"/>
  <c r="G37" i="12"/>
  <c r="F18" i="12"/>
  <c r="E22" i="12"/>
  <c r="E21" i="12"/>
  <c r="H23" i="12" l="1"/>
  <c r="H24" i="12" s="1"/>
  <c r="H40" i="12" s="1"/>
  <c r="H41" i="12" s="1"/>
  <c r="D23" i="12"/>
  <c r="D24" i="12" s="1"/>
  <c r="D40" i="12" s="1"/>
  <c r="G18" i="12"/>
  <c r="G20" i="12" s="1"/>
  <c r="G21" i="12" s="1"/>
  <c r="G22" i="12" s="1"/>
  <c r="E23" i="12"/>
  <c r="E24" i="12" s="1"/>
  <c r="E40" i="12" l="1"/>
  <c r="D41" i="12"/>
  <c r="G23" i="12"/>
  <c r="G24" i="12"/>
  <c r="E41" i="12" l="1"/>
  <c r="C33" i="12" l="1"/>
  <c r="C17" i="12" s="1"/>
  <c r="C32" i="12" s="1"/>
  <c r="B51" i="12" s="1"/>
  <c r="C37" i="12"/>
  <c r="C29" i="12"/>
  <c r="B49" i="12"/>
  <c r="B48" i="12"/>
  <c r="B50" i="12" s="1"/>
  <c r="B55" i="12" l="1"/>
  <c r="C31" i="12"/>
  <c r="A81" i="12" l="1"/>
  <c r="A82" i="12" l="1"/>
  <c r="A83" i="12" l="1"/>
  <c r="A84" i="12" l="1"/>
  <c r="C20" i="12"/>
  <c r="C21" i="12" s="1"/>
  <c r="A85" i="12" l="1"/>
  <c r="C22" i="12"/>
  <c r="A80" i="12" l="1"/>
  <c r="B71" i="12"/>
  <c r="C23" i="12"/>
  <c r="C24" i="12" s="1"/>
  <c r="C40" i="12" l="1"/>
  <c r="C41" i="12" s="1"/>
  <c r="C34" i="12"/>
  <c r="F19" i="12"/>
  <c r="F20" i="12" s="1"/>
  <c r="F21" i="12" s="1"/>
  <c r="E34" i="12"/>
  <c r="F22" i="12" l="1"/>
  <c r="F23" i="12" l="1"/>
  <c r="F24" i="12" s="1"/>
  <c r="F40" i="12" s="1"/>
  <c r="G40" i="12" l="1"/>
  <c r="G41" i="12" s="1"/>
  <c r="F41" i="12"/>
</calcChain>
</file>

<file path=xl/sharedStrings.xml><?xml version="1.0" encoding="utf-8"?>
<sst xmlns="http://schemas.openxmlformats.org/spreadsheetml/2006/main" count="76" uniqueCount="64">
  <si>
    <t>Year</t>
  </si>
  <si>
    <t>Cash Flow</t>
  </si>
  <si>
    <t>Discount rate</t>
  </si>
  <si>
    <t>Project A</t>
  </si>
  <si>
    <t>Project B</t>
  </si>
  <si>
    <t>Income statement</t>
  </si>
  <si>
    <t>Sales</t>
  </si>
  <si>
    <t>Cost of goods sold</t>
  </si>
  <si>
    <t>Depreciation</t>
  </si>
  <si>
    <t>Interest payments on debt</t>
  </si>
  <si>
    <t>Interest earned on cash and marketable securities</t>
  </si>
  <si>
    <t>Profit before tax</t>
  </si>
  <si>
    <t>Taxes (40%)</t>
  </si>
  <si>
    <t>Profit after tax</t>
  </si>
  <si>
    <t>Dividends</t>
  </si>
  <si>
    <t>Retained Earnings</t>
  </si>
  <si>
    <t>Balance sheet</t>
  </si>
  <si>
    <t>Cash</t>
  </si>
  <si>
    <t>Current assets</t>
  </si>
  <si>
    <t>Fixed assets</t>
  </si>
  <si>
    <t xml:space="preserve">     Fixed assets at cost</t>
  </si>
  <si>
    <t xml:space="preserve">     Depreciation</t>
  </si>
  <si>
    <t xml:space="preserve">     Net fixed assets</t>
  </si>
  <si>
    <t>Total assets</t>
  </si>
  <si>
    <t>Current liabilities</t>
  </si>
  <si>
    <t>Debt</t>
  </si>
  <si>
    <t>Equity</t>
  </si>
  <si>
    <t xml:space="preserve">      Stock (paid-in capital)</t>
  </si>
  <si>
    <t xml:space="preserve">      Accumulated retained earnings</t>
  </si>
  <si>
    <t>Total liabilities and equity</t>
  </si>
  <si>
    <t>FCF = Operating Cash Flow -Capital Expenditure</t>
  </si>
  <si>
    <t>Operating Cash Flows</t>
  </si>
  <si>
    <t xml:space="preserve">Net Income </t>
  </si>
  <si>
    <t>Cash Flows from Operations</t>
  </si>
  <si>
    <t>Capital Expenditure</t>
  </si>
  <si>
    <t>FCF</t>
  </si>
  <si>
    <t>WACC</t>
  </si>
  <si>
    <t>Firm's value</t>
  </si>
  <si>
    <t>Mid year discounting - value per share</t>
  </si>
  <si>
    <t>Cooper Dental's market  share value at $10 is profitableas it exceeds the present value of share obtained through the mid-year discounting.</t>
  </si>
  <si>
    <t>Sensitivity Analysis</t>
  </si>
  <si>
    <t>Sales Increase</t>
  </si>
  <si>
    <t>Terminal value</t>
  </si>
  <si>
    <t>Scenario Analysis</t>
  </si>
  <si>
    <t>Best Case</t>
  </si>
  <si>
    <t xml:space="preserve">Sales Growth </t>
  </si>
  <si>
    <t>Base case</t>
  </si>
  <si>
    <t>Worst Case</t>
  </si>
  <si>
    <t>COGS</t>
  </si>
  <si>
    <t>$B$91</t>
  </si>
  <si>
    <t>$C$91</t>
  </si>
  <si>
    <t>$D$91</t>
  </si>
  <si>
    <t>$E$91</t>
  </si>
  <si>
    <t>$B$66</t>
  </si>
  <si>
    <t>Base Case</t>
  </si>
  <si>
    <t>Created by Author on 10/11/2019</t>
  </si>
  <si>
    <t>Scenario Summary</t>
  </si>
  <si>
    <t>Changing Cells:</t>
  </si>
  <si>
    <t>Current Values:</t>
  </si>
  <si>
    <t>Result Cells:</t>
  </si>
  <si>
    <t>Notes:  Current Values column represents values of changing cells at</t>
  </si>
  <si>
    <t>time Scenario Summary Report was created.  Changing cells for each</t>
  </si>
  <si>
    <t>scenario are highlighted in gray.</t>
  </si>
  <si>
    <t xml:space="preserve">Created by Author on 10/11/2019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</si>
</sst>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74" formatCode="&quot;$&quot;#,##0.00"/>
  </numFmts>
  <fonts count="7" x14ac:knownFonts="1">
    <font>
      <sz val="11"/>
      <color theme="1"/>
      <name val="Calibri"/>
      <family val="2"/>
      <scheme val="minor"/>
    </font>
    <font>
      <sz val="11"/>
      <color theme="1"/>
      <name val="Calibri"/>
      <family val="2"/>
      <scheme val="minor"/>
    </font>
    <font>
      <b/>
      <sz val="12"/>
      <color indexed="9"/>
      <name val="Calibri"/>
      <family val="2"/>
      <scheme val="minor"/>
    </font>
    <font>
      <b/>
      <sz val="11"/>
      <color indexed="8"/>
      <name val="Calibri"/>
      <family val="2"/>
      <scheme val="minor"/>
    </font>
    <font>
      <b/>
      <sz val="11"/>
      <color indexed="18"/>
      <name val="Calibri"/>
      <family val="2"/>
      <scheme val="minor"/>
    </font>
    <font>
      <sz val="10"/>
      <color indexed="9"/>
      <name val="Calibri"/>
      <family val="2"/>
      <scheme val="minor"/>
    </font>
    <font>
      <sz val="8"/>
      <color theme="1"/>
      <name val="Calibri"/>
      <family val="2"/>
      <scheme val="minor"/>
    </font>
  </fonts>
  <fills count="5">
    <fill>
      <patternFill patternType="none"/>
    </fill>
    <fill>
      <patternFill patternType="gray125"/>
    </fill>
    <fill>
      <patternFill patternType="solid">
        <fgColor indexed="20"/>
        <bgColor indexed="24"/>
      </patternFill>
    </fill>
    <fill>
      <patternFill patternType="solid">
        <fgColor indexed="22"/>
        <bgColor indexed="24"/>
      </patternFill>
    </fill>
    <fill>
      <patternFill patternType="solid">
        <fgColor indexed="22"/>
        <bgColor indexed="7"/>
      </patternFill>
    </fill>
  </fills>
  <borders count="5">
    <border>
      <left/>
      <right/>
      <top/>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29">
    <xf numFmtId="0" fontId="0" fillId="0" borderId="0" xfId="0"/>
    <xf numFmtId="0" fontId="0" fillId="0" borderId="0" xfId="0" applyNumberFormat="1"/>
    <xf numFmtId="0" fontId="0" fillId="0" borderId="0" xfId="0" applyNumberFormat="1" applyAlignment="1">
      <alignment horizontal="left"/>
    </xf>
    <xf numFmtId="9" fontId="0" fillId="0" borderId="0" xfId="1" applyFont="1" applyAlignment="1">
      <alignment horizontal="left"/>
    </xf>
    <xf numFmtId="0" fontId="0" fillId="0" borderId="0" xfId="0" applyAlignment="1">
      <alignment horizontal="left"/>
    </xf>
    <xf numFmtId="44" fontId="0" fillId="0" borderId="0" xfId="0" applyNumberFormat="1" applyAlignment="1">
      <alignment horizontal="left"/>
    </xf>
    <xf numFmtId="44" fontId="0" fillId="0" borderId="0" xfId="2" applyFont="1" applyAlignment="1">
      <alignment horizontal="left"/>
    </xf>
    <xf numFmtId="3" fontId="0" fillId="0" borderId="0" xfId="0" applyNumberFormat="1"/>
    <xf numFmtId="44" fontId="0" fillId="0" borderId="0" xfId="0" applyNumberFormat="1"/>
    <xf numFmtId="9" fontId="0" fillId="0" borderId="0" xfId="0" applyNumberFormat="1"/>
    <xf numFmtId="2" fontId="0" fillId="0" borderId="0" xfId="0" applyNumberFormat="1"/>
    <xf numFmtId="4" fontId="0" fillId="0" borderId="0" xfId="0" applyNumberFormat="1"/>
    <xf numFmtId="174" fontId="0" fillId="0" borderId="0" xfId="0" applyNumberFormat="1"/>
    <xf numFmtId="9" fontId="0" fillId="0" borderId="0" xfId="1" applyFont="1"/>
    <xf numFmtId="0" fontId="0" fillId="0" borderId="0" xfId="0" applyFill="1" applyBorder="1" applyAlignment="1"/>
    <xf numFmtId="9" fontId="0" fillId="0" borderId="0" xfId="0" applyNumberFormat="1" applyFill="1" applyBorder="1" applyAlignment="1"/>
    <xf numFmtId="2" fontId="0" fillId="0" borderId="2" xfId="0" applyNumberFormat="1" applyFill="1" applyBorder="1" applyAlignment="1"/>
    <xf numFmtId="0" fontId="2" fillId="2" borderId="3" xfId="0" applyFont="1" applyFill="1" applyBorder="1" applyAlignment="1">
      <alignment horizontal="left"/>
    </xf>
    <xf numFmtId="0" fontId="2" fillId="2" borderId="1" xfId="0" applyFont="1" applyFill="1" applyBorder="1" applyAlignment="1">
      <alignment horizontal="left"/>
    </xf>
    <xf numFmtId="0" fontId="0" fillId="0" borderId="4" xfId="0" applyFill="1" applyBorder="1" applyAlignment="1"/>
    <xf numFmtId="0" fontId="3" fillId="3" borderId="0" xfId="0" applyFont="1" applyFill="1" applyBorder="1" applyAlignment="1">
      <alignment horizontal="left"/>
    </xf>
    <xf numFmtId="0" fontId="4" fillId="3" borderId="4" xfId="0" applyFont="1" applyFill="1" applyBorder="1" applyAlignment="1">
      <alignment horizontal="left"/>
    </xf>
    <xf numFmtId="0" fontId="3" fillId="3" borderId="2" xfId="0" applyFont="1" applyFill="1" applyBorder="1" applyAlignment="1">
      <alignment horizontal="left"/>
    </xf>
    <xf numFmtId="0" fontId="5" fillId="2" borderId="1" xfId="0" applyFont="1" applyFill="1" applyBorder="1" applyAlignment="1">
      <alignment horizontal="right"/>
    </xf>
    <xf numFmtId="0" fontId="5" fillId="2" borderId="3" xfId="0" applyFont="1" applyFill="1" applyBorder="1" applyAlignment="1">
      <alignment horizontal="right"/>
    </xf>
    <xf numFmtId="9" fontId="0" fillId="4" borderId="0" xfId="0" applyNumberFormat="1" applyFill="1" applyBorder="1" applyAlignment="1"/>
    <xf numFmtId="0" fontId="6" fillId="0" borderId="0" xfId="0" applyFont="1" applyFill="1" applyBorder="1" applyAlignment="1">
      <alignment vertical="top" wrapText="1"/>
    </xf>
    <xf numFmtId="44" fontId="0" fillId="0" borderId="0" xfId="0" applyNumberFormat="1" applyFill="1" applyBorder="1" applyAlignment="1"/>
    <xf numFmtId="44" fontId="0" fillId="4" borderId="0" xfId="0" applyNumberFormat="1" applyFill="1" applyBorder="1" applyAlignment="1"/>
  </cellXfs>
  <cellStyles count="3">
    <cellStyle name="Currency" xfId="2" builtinId="4"/>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66675</xdr:colOff>
      <xdr:row>4</xdr:row>
      <xdr:rowOff>38101</xdr:rowOff>
    </xdr:from>
    <xdr:to>
      <xdr:col>12</xdr:col>
      <xdr:colOff>447675</xdr:colOff>
      <xdr:row>19</xdr:row>
      <xdr:rowOff>114300</xdr:rowOff>
    </xdr:to>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1285875" y="800101"/>
          <a:ext cx="6477000" cy="293369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Garamond" panose="02020404030301010803" pitchFamily="18" charset="0"/>
            </a:rPr>
            <a:t>Outline:</a:t>
          </a:r>
        </a:p>
        <a:p>
          <a:endParaRPr lang="en-US" sz="1400">
            <a:latin typeface="Garamond" panose="02020404030301010803" pitchFamily="18" charset="0"/>
          </a:endParaRPr>
        </a:p>
        <a:p>
          <a:r>
            <a:rPr lang="en-US" sz="1400">
              <a:latin typeface="Garamond" panose="02020404030301010803" pitchFamily="18" charset="0"/>
            </a:rPr>
            <a:t>1. Simple Capital Budgeting</a:t>
          </a:r>
        </a:p>
        <a:p>
          <a:r>
            <a:rPr lang="en-US" sz="1400">
              <a:latin typeface="Garamond" panose="02020404030301010803" pitchFamily="18" charset="0"/>
            </a:rPr>
            <a:t>2. Ranking Projects</a:t>
          </a:r>
          <a:r>
            <a:rPr lang="en-US" sz="1400" baseline="0">
              <a:latin typeface="Garamond" panose="02020404030301010803" pitchFamily="18" charset="0"/>
            </a:rPr>
            <a:t> with NPV and IRR</a:t>
          </a:r>
        </a:p>
        <a:p>
          <a:r>
            <a:rPr lang="en-US" sz="1400" baseline="0">
              <a:latin typeface="Garamond" panose="02020404030301010803" pitchFamily="18" charset="0"/>
            </a:rPr>
            <a:t>3. Issues with IRR</a:t>
          </a: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effectLst/>
              <a:latin typeface="Garamond" panose="02020404030301010803" pitchFamily="18" charset="0"/>
              <a:ea typeface="+mn-ea"/>
              <a:cs typeface="+mn-cs"/>
            </a:rPr>
            <a:t>4. Capital Budgeting for personal investment</a:t>
          </a:r>
          <a:endParaRPr lang="en-US" sz="1400" baseline="0">
            <a:latin typeface="Garamond" panose="02020404030301010803" pitchFamily="18" charset="0"/>
          </a:endParaRPr>
        </a:p>
        <a:p>
          <a:r>
            <a:rPr lang="en-US" sz="1400" baseline="0">
              <a:latin typeface="Garamond" panose="02020404030301010803" pitchFamily="18" charset="0"/>
            </a:rPr>
            <a:t>5. Lease or buy </a:t>
          </a: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effectLst/>
              <a:latin typeface="Garamond" panose="02020404030301010803" pitchFamily="18" charset="0"/>
              <a:ea typeface="+mn-ea"/>
              <a:cs typeface="+mn-cs"/>
            </a:rPr>
            <a:t>6. Capital Budgeting with different life spans</a:t>
          </a:r>
          <a:endParaRPr lang="en-US" sz="1400" baseline="0">
            <a:latin typeface="Garamond" panose="02020404030301010803" pitchFamily="18" charset="0"/>
          </a:endParaRPr>
        </a:p>
        <a:p>
          <a:r>
            <a:rPr lang="en-US" sz="1400" baseline="0">
              <a:latin typeface="Garamond" panose="02020404030301010803" pitchFamily="18" charset="0"/>
            </a:rPr>
            <a:t>7. Midyear discounting</a:t>
          </a:r>
        </a:p>
        <a:p>
          <a:r>
            <a:rPr lang="en-US" sz="1400" baseline="0">
              <a:latin typeface="Garamond" panose="02020404030301010803" pitchFamily="18" charset="0"/>
            </a:rPr>
            <a:t>8. Pro Forma Financial Statements and DCF Valuation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1</xdr:row>
      <xdr:rowOff>76200</xdr:rowOff>
    </xdr:from>
    <xdr:to>
      <xdr:col>13</xdr:col>
      <xdr:colOff>66675</xdr:colOff>
      <xdr:row>5</xdr:row>
      <xdr:rowOff>171450</xdr:rowOff>
    </xdr:to>
    <xdr:sp macro="" textlink="">
      <xdr:nvSpPr>
        <xdr:cNvPr id="2" name="TextBox 1">
          <a:extLst>
            <a:ext uri="{FF2B5EF4-FFF2-40B4-BE49-F238E27FC236}">
              <a16:creationId xmlns:a16="http://schemas.microsoft.com/office/drawing/2014/main" xmlns="" id="{00000000-0008-0000-0100-000002000000}"/>
            </a:ext>
          </a:extLst>
        </xdr:cNvPr>
        <xdr:cNvSpPr txBox="1"/>
      </xdr:nvSpPr>
      <xdr:spPr>
        <a:xfrm>
          <a:off x="676275" y="266700"/>
          <a:ext cx="7315200" cy="85725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aramond" panose="02020404030301010803" pitchFamily="18" charset="0"/>
            </a:rPr>
            <a:t>Consider a project. The initial cash outflow, which represents the cost of the project today, is $1,000.</a:t>
          </a:r>
          <a:r>
            <a:rPr lang="en-US" sz="1100" baseline="0">
              <a:latin typeface="Garamond" panose="02020404030301010803" pitchFamily="18" charset="0"/>
            </a:rPr>
            <a:t> The remainning cash flows for years 1-6 are projected future cash flows. The discount rate is 15%.</a:t>
          </a:r>
        </a:p>
        <a:p>
          <a:r>
            <a:rPr lang="en-US" sz="1100" baseline="0">
              <a:latin typeface="Garamond" panose="02020404030301010803" pitchFamily="18" charset="0"/>
            </a:rPr>
            <a:t>-What's NPV and IRR? Do they give you the same answer?</a:t>
          </a:r>
        </a:p>
        <a:p>
          <a:r>
            <a:rPr lang="en-US" sz="1100" baseline="0">
              <a:latin typeface="Garamond" panose="02020404030301010803" pitchFamily="18" charset="0"/>
            </a:rPr>
            <a:t>-Create a NPV profile, which is a chart showing the values of NPV given different discount rates.</a:t>
          </a:r>
          <a:endParaRPr lang="en-US" sz="1100">
            <a:latin typeface="Garamond" panose="02020404030301010803"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114300</xdr:colOff>
      <xdr:row>0</xdr:row>
      <xdr:rowOff>133350</xdr:rowOff>
    </xdr:from>
    <xdr:to>
      <xdr:col>11</xdr:col>
      <xdr:colOff>533400</xdr:colOff>
      <xdr:row>7</xdr:row>
      <xdr:rowOff>165100</xdr:rowOff>
    </xdr:to>
    <xdr:sp macro="" textlink="">
      <xdr:nvSpPr>
        <xdr:cNvPr id="2" name="TextBox 1">
          <a:extLst>
            <a:ext uri="{FF2B5EF4-FFF2-40B4-BE49-F238E27FC236}">
              <a16:creationId xmlns:a16="http://schemas.microsoft.com/office/drawing/2014/main" xmlns="" id="{00000000-0008-0000-0200-000002000000}"/>
            </a:ext>
          </a:extLst>
        </xdr:cNvPr>
        <xdr:cNvSpPr txBox="1"/>
      </xdr:nvSpPr>
      <xdr:spPr>
        <a:xfrm>
          <a:off x="965200" y="133350"/>
          <a:ext cx="6515100" cy="136525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aramond" panose="02020404030301010803" pitchFamily="18" charset="0"/>
            </a:rPr>
            <a:t>Consider mutually exclusive projects A and B, meaning you can only invest in one. Both projects have the same initial cost of $500 but have different future cash flow patterns. The relevant discount rate is 15%.</a:t>
          </a:r>
        </a:p>
        <a:p>
          <a:r>
            <a:rPr lang="en-US" sz="1100">
              <a:latin typeface="Garamond" panose="02020404030301010803" pitchFamily="18" charset="0"/>
            </a:rPr>
            <a:t>-What are NPVs and IRRs for both projects? Do they give you the same answer?</a:t>
          </a:r>
        </a:p>
        <a:p>
          <a:r>
            <a:rPr lang="en-US" sz="1100">
              <a:latin typeface="Garamond" panose="02020404030301010803" pitchFamily="18" charset="0"/>
            </a:rPr>
            <a:t>-What</a:t>
          </a:r>
          <a:r>
            <a:rPr lang="en-US" sz="1100" baseline="0">
              <a:latin typeface="Garamond" panose="02020404030301010803" pitchFamily="18" charset="0"/>
            </a:rPr>
            <a:t> if the discount rate is 8%? Do they give you the same answer?</a:t>
          </a:r>
        </a:p>
        <a:p>
          <a:r>
            <a:rPr lang="en-US" sz="1100">
              <a:latin typeface="Garamond" panose="02020404030301010803" pitchFamily="18" charset="0"/>
            </a:rPr>
            <a:t>-Build</a:t>
          </a:r>
          <a:r>
            <a:rPr lang="en-US" sz="1100" baseline="0">
              <a:latin typeface="Garamond" panose="02020404030301010803" pitchFamily="18" charset="0"/>
            </a:rPr>
            <a:t> a table and graph that show the NPV for each project as a function of the discount rate.</a:t>
          </a:r>
        </a:p>
        <a:p>
          <a:r>
            <a:rPr lang="en-US" sz="1100" baseline="0">
              <a:latin typeface="Garamond" panose="02020404030301010803" pitchFamily="18" charset="0"/>
            </a:rPr>
            <a:t>-Calculate the Crossover Point, which is the discount rate at which the NPVs of the two projects are equal.</a:t>
          </a: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537482</xdr:colOff>
      <xdr:row>1</xdr:row>
      <xdr:rowOff>102054</xdr:rowOff>
    </xdr:from>
    <xdr:to>
      <xdr:col>14</xdr:col>
      <xdr:colOff>340179</xdr:colOff>
      <xdr:row>13</xdr:row>
      <xdr:rowOff>163286</xdr:rowOff>
    </xdr:to>
    <xdr:sp macro="" textlink="">
      <xdr:nvSpPr>
        <xdr:cNvPr id="2" name="TextBox 1">
          <a:extLst>
            <a:ext uri="{FF2B5EF4-FFF2-40B4-BE49-F238E27FC236}">
              <a16:creationId xmlns:a16="http://schemas.microsoft.com/office/drawing/2014/main" xmlns="" id="{00000000-0008-0000-0400-000002000000}"/>
            </a:ext>
          </a:extLst>
        </xdr:cNvPr>
        <xdr:cNvSpPr txBox="1"/>
      </xdr:nvSpPr>
      <xdr:spPr>
        <a:xfrm>
          <a:off x="537482" y="292554"/>
          <a:ext cx="8375197" cy="2347232"/>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A company operates sanitary landfills. Here</a:t>
          </a:r>
          <a:r>
            <a:rPr lang="en-US" sz="1200" baseline="0">
              <a:solidFill>
                <a:schemeClr val="dk1"/>
              </a:solidFill>
              <a:effectLst/>
              <a:latin typeface="Garamond" panose="02020404030301010803" pitchFamily="18" charset="0"/>
              <a:ea typeface="+mn-ea"/>
              <a:cs typeface="+mn-cs"/>
            </a:rPr>
            <a:t> are the cash flows anticipated by the company for a new landfill: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The initial cost of the landfill is $800,000. This covers the expense of digging the hole, fencing it, and providing appropriate truck access.</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The annual net cash inflows from the landfill are $450,000. These represent the fees the company collects in return for giving trash collection companies the right to dump their trash in the landfill. THese cash flows are net of any costs incurred by the landfill company.</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After five years the landfill will be full. The costs of closing the land fill, incurred at the end of year 6, are $1,500,000. This includes the costs of abiding by various ecological</a:t>
          </a:r>
          <a:r>
            <a:rPr lang="en-US" sz="1200" baseline="0">
              <a:solidFill>
                <a:schemeClr val="dk1"/>
              </a:solidFill>
              <a:effectLst/>
              <a:latin typeface="Garamond" panose="02020404030301010803" pitchFamily="18" charset="0"/>
              <a:ea typeface="+mn-ea"/>
              <a:cs typeface="+mn-cs"/>
            </a:rPr>
            <a:t> regulations and so on.</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-What's different about the cash flow patterns? What's the IRR of this company's investment? </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-Create a NPV profile.</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190500</xdr:colOff>
      <xdr:row>1</xdr:row>
      <xdr:rowOff>19050</xdr:rowOff>
    </xdr:from>
    <xdr:to>
      <xdr:col>14</xdr:col>
      <xdr:colOff>209550</xdr:colOff>
      <xdr:row>20</xdr:row>
      <xdr:rowOff>133350</xdr:rowOff>
    </xdr:to>
    <xdr:sp macro="" textlink="">
      <xdr:nvSpPr>
        <xdr:cNvPr id="2" name="TextBox 1">
          <a:extLst>
            <a:ext uri="{FF2B5EF4-FFF2-40B4-BE49-F238E27FC236}">
              <a16:creationId xmlns:a16="http://schemas.microsoft.com/office/drawing/2014/main" xmlns="" id="{00000000-0008-0000-0300-000002000000}"/>
            </a:ext>
          </a:extLst>
        </xdr:cNvPr>
        <xdr:cNvSpPr txBox="1"/>
      </xdr:nvSpPr>
      <xdr:spPr>
        <a:xfrm>
          <a:off x="800100" y="209550"/>
          <a:ext cx="7943850" cy="373380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Garamond" panose="02020404030301010803" pitchFamily="18" charset="0"/>
              <a:ea typeface="+mn-ea"/>
              <a:cs typeface="+mn-cs"/>
            </a:rPr>
            <a:t>Yuting is considering buying a unit of townhome in</a:t>
          </a:r>
          <a:r>
            <a:rPr lang="en-US" sz="1200" baseline="0">
              <a:solidFill>
                <a:schemeClr val="dk1"/>
              </a:solidFill>
              <a:effectLst/>
              <a:latin typeface="Garamond" panose="02020404030301010803" pitchFamily="18" charset="0"/>
              <a:ea typeface="+mn-ea"/>
              <a:cs typeface="+mn-cs"/>
            </a:rPr>
            <a:t> Clearwater </a:t>
          </a:r>
          <a:r>
            <a:rPr lang="en-US" sz="1200">
              <a:solidFill>
                <a:schemeClr val="dk1"/>
              </a:solidFill>
              <a:effectLst/>
              <a:latin typeface="Garamond" panose="02020404030301010803" pitchFamily="18" charset="0"/>
              <a:ea typeface="+mn-ea"/>
              <a:cs typeface="+mn-cs"/>
            </a:rPr>
            <a:t>and renting it out for the income. The townhome will cost $220,000 and she is planning to buy it with all cash. Here are some additional facts:</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Yuting figures she can rent out the townhome for $24000 a year, and the rent will grow by approximately</a:t>
          </a:r>
          <a:r>
            <a:rPr lang="en-US" sz="1200" baseline="0">
              <a:solidFill>
                <a:schemeClr val="dk1"/>
              </a:solidFill>
              <a:effectLst/>
              <a:latin typeface="Garamond" panose="02020404030301010803" pitchFamily="18" charset="0"/>
              <a:ea typeface="+mn-ea"/>
              <a:cs typeface="+mn-cs"/>
            </a:rPr>
            <a:t> 3% per year</a:t>
          </a:r>
          <a:r>
            <a:rPr lang="en-US" sz="1200">
              <a:solidFill>
                <a:schemeClr val="dk1"/>
              </a:solidFill>
              <a:effectLst/>
              <a:latin typeface="Garamond" panose="02020404030301010803" pitchFamily="18" charset="0"/>
              <a:ea typeface="+mn-ea"/>
              <a:cs typeface="+mn-cs"/>
            </a:rPr>
            <a:t>. She'll have to pay property taxes of $3000</a:t>
          </a:r>
          <a:r>
            <a:rPr lang="en-US" sz="1200" baseline="0">
              <a:solidFill>
                <a:schemeClr val="dk1"/>
              </a:solidFill>
              <a:effectLst/>
              <a:latin typeface="Garamond" panose="02020404030301010803" pitchFamily="18" charset="0"/>
              <a:ea typeface="+mn-ea"/>
              <a:cs typeface="+mn-cs"/>
            </a:rPr>
            <a:t> and </a:t>
          </a:r>
          <a:r>
            <a:rPr lang="en-US" sz="1200">
              <a:solidFill>
                <a:schemeClr val="dk1"/>
              </a:solidFill>
              <a:effectLst/>
              <a:latin typeface="Garamond" panose="02020404030301010803" pitchFamily="18" charset="0"/>
              <a:ea typeface="+mn-ea"/>
              <a:cs typeface="+mn-cs"/>
            </a:rPr>
            <a:t>property insurance of $2000 at the end of the year, and she assumes the property tax will</a:t>
          </a:r>
          <a:r>
            <a:rPr lang="en-US" sz="1200" baseline="0">
              <a:solidFill>
                <a:schemeClr val="dk1"/>
              </a:solidFill>
              <a:effectLst/>
              <a:latin typeface="Garamond" panose="02020404030301010803" pitchFamily="18" charset="0"/>
              <a:ea typeface="+mn-ea"/>
              <a:cs typeface="+mn-cs"/>
            </a:rPr>
            <a:t> grow at 3% per year as well, since real estate generally appreciates. </a:t>
          </a:r>
          <a:r>
            <a:rPr lang="en-US" sz="1200">
              <a:solidFill>
                <a:schemeClr val="dk1"/>
              </a:solidFill>
              <a:effectLst/>
              <a:latin typeface="Garamond" panose="02020404030301010803" pitchFamily="18" charset="0"/>
              <a:ea typeface="+mn-ea"/>
              <a:cs typeface="+mn-cs"/>
            </a:rPr>
            <a:t>And</a:t>
          </a:r>
          <a:r>
            <a:rPr lang="en-US" sz="1200" baseline="0">
              <a:solidFill>
                <a:schemeClr val="dk1"/>
              </a:solidFill>
              <a:effectLst/>
              <a:latin typeface="Garamond" panose="02020404030301010803" pitchFamily="18" charset="0"/>
              <a:ea typeface="+mn-ea"/>
              <a:cs typeface="+mn-cs"/>
            </a:rPr>
            <a:t> she is </a:t>
          </a:r>
          <a:r>
            <a:rPr lang="en-US" sz="1200">
              <a:solidFill>
                <a:schemeClr val="dk1"/>
              </a:solidFill>
              <a:effectLst/>
              <a:latin typeface="Garamond" panose="02020404030301010803" pitchFamily="18" charset="0"/>
              <a:ea typeface="+mn-ea"/>
              <a:cs typeface="+mn-cs"/>
            </a:rPr>
            <a:t>figuring on additional miscellaneous expenses of $1000 per year.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All the income from the townhouse has to be reported on their annual tax return. Currently, Yuting has a tax rate of 24%, and she thinks her rate will continue for the foreseeable future.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Her accountant has explained to her that she can depreciate rental</a:t>
          </a:r>
          <a:r>
            <a:rPr lang="en-US" sz="1200" baseline="0">
              <a:solidFill>
                <a:schemeClr val="dk1"/>
              </a:solidFill>
              <a:effectLst/>
              <a:latin typeface="Garamond" panose="02020404030301010803" pitchFamily="18" charset="0"/>
              <a:ea typeface="+mn-ea"/>
              <a:cs typeface="+mn-cs"/>
            </a:rPr>
            <a:t> property based on MACRS 27.5 year straight-line depreciation system. </a:t>
          </a:r>
        </a:p>
        <a:p>
          <a:endParaRPr lang="en-US" sz="1200" baseline="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At the end of year 10 she plans to resell the townhome for $500,000. Since</a:t>
          </a:r>
          <a:r>
            <a:rPr lang="en-US" sz="1200" baseline="0">
              <a:solidFill>
                <a:schemeClr val="dk1"/>
              </a:solidFill>
              <a:effectLst/>
              <a:latin typeface="Garamond" panose="02020404030301010803" pitchFamily="18" charset="0"/>
              <a:ea typeface="+mn-ea"/>
              <a:cs typeface="+mn-cs"/>
            </a:rPr>
            <a:t> this is not her preminary residence, she will pay 15% capital gain on the income.</a:t>
          </a:r>
          <a:endParaRPr lang="en-US" sz="1200">
            <a:solidFill>
              <a:schemeClr val="dk1"/>
            </a:solidFill>
            <a:effectLst/>
            <a:latin typeface="Garamond" panose="02020404030301010803" pitchFamily="18" charset="0"/>
            <a:ea typeface="+mn-ea"/>
            <a:cs typeface="+mn-cs"/>
          </a:endParaRPr>
        </a:p>
        <a:p>
          <a:endParaRPr lang="en-US" sz="1100">
            <a:latin typeface="Garamond" panose="02020404030301010803" pitchFamily="18" charset="0"/>
          </a:endParaRPr>
        </a:p>
        <a:p>
          <a:r>
            <a:rPr lang="en-US" sz="1200">
              <a:latin typeface="Garamond" panose="02020404030301010803" pitchFamily="18" charset="0"/>
            </a:rPr>
            <a:t>-Calculate the cash flow for this investment each year. If she requires 12% annual return, what</a:t>
          </a:r>
          <a:r>
            <a:rPr lang="en-US" sz="1200" baseline="0">
              <a:latin typeface="Garamond" panose="02020404030301010803" pitchFamily="18" charset="0"/>
            </a:rPr>
            <a:t> are the NPV and IRR for this investment? </a:t>
          </a:r>
        </a:p>
        <a:p>
          <a:r>
            <a:rPr lang="en-US" sz="1200" baseline="0">
              <a:latin typeface="Garamond" panose="02020404030301010803" pitchFamily="18" charset="0"/>
            </a:rPr>
            <a:t>-Conduct a sensitivity analysis (a two-input data table) to show IRR as a function of resell value and rent. Highlight the combinations that are not profitable.</a:t>
          </a:r>
          <a:endParaRPr lang="en-US" sz="1200">
            <a:latin typeface="Garamond" panose="020204040303010108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600075</xdr:colOff>
      <xdr:row>1</xdr:row>
      <xdr:rowOff>123824</xdr:rowOff>
    </xdr:from>
    <xdr:to>
      <xdr:col>13</xdr:col>
      <xdr:colOff>102053</xdr:colOff>
      <xdr:row>16</xdr:row>
      <xdr:rowOff>81643</xdr:rowOff>
    </xdr:to>
    <xdr:sp macro="" textlink="">
      <xdr:nvSpPr>
        <xdr:cNvPr id="2" name="TextBox 1">
          <a:extLst>
            <a:ext uri="{FF2B5EF4-FFF2-40B4-BE49-F238E27FC236}">
              <a16:creationId xmlns:a16="http://schemas.microsoft.com/office/drawing/2014/main" xmlns="" id="{00000000-0008-0000-0600-000002000000}"/>
            </a:ext>
          </a:extLst>
        </xdr:cNvPr>
        <xdr:cNvSpPr txBox="1"/>
      </xdr:nvSpPr>
      <xdr:spPr>
        <a:xfrm>
          <a:off x="1212396" y="314324"/>
          <a:ext cx="6849836" cy="281531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Garamond" panose="02020404030301010803" pitchFamily="18" charset="0"/>
              <a:ea typeface="+mn-ea"/>
              <a:cs typeface="+mn-cs"/>
            </a:rPr>
            <a:t>Your business has decided that it needs another computer. Here are the facts:</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The business has a tax rate of 40% and can borrow from the bank at 15%.</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You can buy the computer for $4000 and depreciate it on a straight-line basis over 3 years ($1333 per year). So this depreciation will save you 40%*1333=533 per year in taxes.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You can lease the computer for $1500 per year, payable in advance for 4 years. This means you’ll pay $1500 today and $1500 at the end of each of years 1,2,3. The lease payment is an expense for tax purpose, so its net after-tax cost to the firm is (1-40%)*1500 = $900.</a:t>
          </a:r>
        </a:p>
        <a:p>
          <a:endParaRPr lang="en-US" sz="1200">
            <a:solidFill>
              <a:schemeClr val="dk1"/>
            </a:solidFill>
            <a:effectLst/>
            <a:latin typeface="Garamond" panose="02020404030301010803" pitchFamily="18" charset="0"/>
            <a:ea typeface="+mn-ea"/>
            <a:cs typeface="+mn-cs"/>
          </a:endParaRPr>
        </a:p>
        <a:p>
          <a:r>
            <a:rPr lang="en-US" sz="1200">
              <a:latin typeface="Garamond" panose="02020404030301010803" pitchFamily="18" charset="0"/>
            </a:rPr>
            <a:t>-Should the company lease or buy?</a:t>
          </a:r>
        </a:p>
        <a:p>
          <a:endParaRPr lang="en-US" sz="1200" baseline="0">
            <a:latin typeface="Garamond" panose="02020404030301010803" pitchFamily="18" charset="0"/>
          </a:endParaRPr>
        </a:p>
        <a:p>
          <a:r>
            <a:rPr lang="en-US" sz="1200" baseline="0">
              <a:latin typeface="Garamond" panose="02020404030301010803" pitchFamily="18" charset="0"/>
            </a:rPr>
            <a:t>-If buying is a better option, then what's the maximum lease payment we'll pay to make leasing worthwhile?</a:t>
          </a:r>
          <a:endParaRPr lang="en-US" sz="1200">
            <a:latin typeface="Garamond" panose="02020404030301010803" pitchFamily="18" charset="0"/>
          </a:endParaRPr>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68036</xdr:colOff>
      <xdr:row>1</xdr:row>
      <xdr:rowOff>13606</xdr:rowOff>
    </xdr:from>
    <xdr:to>
      <xdr:col>11</xdr:col>
      <xdr:colOff>394607</xdr:colOff>
      <xdr:row>13</xdr:row>
      <xdr:rowOff>68035</xdr:rowOff>
    </xdr:to>
    <xdr:sp macro="" textlink="">
      <xdr:nvSpPr>
        <xdr:cNvPr id="2" name="TextBox 1">
          <a:extLst>
            <a:ext uri="{FF2B5EF4-FFF2-40B4-BE49-F238E27FC236}">
              <a16:creationId xmlns:a16="http://schemas.microsoft.com/office/drawing/2014/main" xmlns="" id="{00000000-0008-0000-0500-000002000000}"/>
            </a:ext>
          </a:extLst>
        </xdr:cNvPr>
        <xdr:cNvSpPr txBox="1"/>
      </xdr:nvSpPr>
      <xdr:spPr>
        <a:xfrm>
          <a:off x="680357" y="204106"/>
          <a:ext cx="6449786" cy="234042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Suppose your company is considering buying one</a:t>
          </a:r>
          <a:r>
            <a:rPr lang="en-US" sz="1200" baseline="0">
              <a:latin typeface="Garamond" panose="02020404030301010803" pitchFamily="18" charset="0"/>
            </a:rPr>
            <a:t> of two tank trucks to haul high-tech liquid materials. The company is trying to decide between two alternatives:</a:t>
          </a:r>
        </a:p>
        <a:p>
          <a:endParaRPr lang="en-US" sz="1200" baseline="0">
            <a:latin typeface="Garamond" panose="02020404030301010803" pitchFamily="18" charset="0"/>
          </a:endParaRPr>
        </a:p>
        <a:p>
          <a:r>
            <a:rPr lang="en-US" sz="1200">
              <a:solidFill>
                <a:schemeClr val="dk1"/>
              </a:solidFill>
              <a:effectLst/>
              <a:latin typeface="Garamond" panose="02020404030301010803" pitchFamily="18" charset="0"/>
              <a:ea typeface="+mn-ea"/>
              <a:cs typeface="+mn-cs"/>
            </a:rPr>
            <a:t>Truck A is relatively cheap truck. It costs $100,000 and has a 6-year life, during which it will produce an annual cash flow of $150,000.</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Truck B is much more expensive. It costs $250,000 and has only a 3-year life, after which it has to be replaced. However, truck B is much more efficient and during each of the 3 years of its life it produces a cash flow of $300,000.</a:t>
          </a:r>
        </a:p>
        <a:p>
          <a:endParaRPr lang="en-US" sz="1200">
            <a:solidFill>
              <a:schemeClr val="dk1"/>
            </a:solidFill>
            <a:effectLst/>
            <a:latin typeface="Garamond" panose="02020404030301010803" pitchFamily="18" charset="0"/>
            <a:ea typeface="+mn-ea"/>
            <a:cs typeface="+mn-cs"/>
          </a:endParaRPr>
        </a:p>
        <a:p>
          <a:r>
            <a:rPr lang="en-US" sz="1200">
              <a:latin typeface="Garamond" panose="02020404030301010803" pitchFamily="18" charset="0"/>
            </a:rPr>
            <a:t>-If your company's discount rate is 12%, which truck should it choose?</a:t>
          </a:r>
        </a:p>
        <a:p>
          <a:r>
            <a:rPr lang="en-US" sz="1200">
              <a:latin typeface="Garamond" panose="02020404030301010803" pitchFamily="18" charset="0"/>
            </a:rPr>
            <a:t>-How to make them</a:t>
          </a:r>
          <a:r>
            <a:rPr lang="en-US" sz="1200" baseline="0">
              <a:latin typeface="Garamond" panose="02020404030301010803" pitchFamily="18" charset="0"/>
            </a:rPr>
            <a:t> comparable?</a:t>
          </a:r>
        </a:p>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183172</xdr:colOff>
      <xdr:row>0</xdr:row>
      <xdr:rowOff>183172</xdr:rowOff>
    </xdr:from>
    <xdr:to>
      <xdr:col>11</xdr:col>
      <xdr:colOff>256441</xdr:colOff>
      <xdr:row>11</xdr:row>
      <xdr:rowOff>29307</xdr:rowOff>
    </xdr:to>
    <xdr:sp macro="" textlink="">
      <xdr:nvSpPr>
        <xdr:cNvPr id="2" name="TextBox 1">
          <a:extLst>
            <a:ext uri="{FF2B5EF4-FFF2-40B4-BE49-F238E27FC236}">
              <a16:creationId xmlns:a16="http://schemas.microsoft.com/office/drawing/2014/main" xmlns="" id="{00000000-0008-0000-0700-000002000000}"/>
            </a:ext>
          </a:extLst>
        </xdr:cNvPr>
        <xdr:cNvSpPr txBox="1"/>
      </xdr:nvSpPr>
      <xdr:spPr>
        <a:xfrm>
          <a:off x="791307" y="183172"/>
          <a:ext cx="6154615" cy="1941635"/>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A company owner is</a:t>
          </a:r>
          <a:r>
            <a:rPr lang="en-US" sz="1200" baseline="0">
              <a:latin typeface="Garamond" panose="02020404030301010803" pitchFamily="18" charset="0"/>
            </a:rPr>
            <a:t> thinking about spending $10,000 in order to produce an annual cash flow of $3,000 per year for the next 5 years. If the discount rate is 15%, and the cash flows occur at year end, what's the NPV?</a:t>
          </a:r>
        </a:p>
        <a:p>
          <a:endParaRPr lang="en-US" sz="1200" baseline="0">
            <a:latin typeface="Garamond" panose="02020404030301010803" pitchFamily="18" charset="0"/>
          </a:endParaRPr>
        </a:p>
        <a:p>
          <a:r>
            <a:rPr lang="en-US" sz="1200" baseline="0">
              <a:latin typeface="Garamond" panose="02020404030301010803" pitchFamily="18" charset="0"/>
            </a:rPr>
            <a:t>What if the $3,000 annual cash flow is actually received as $750 at the end of each quarter. Then what's the NPV?</a:t>
          </a:r>
        </a:p>
        <a:p>
          <a:endParaRPr lang="en-US" sz="1200" baseline="0">
            <a:latin typeface="Garamond" panose="02020404030301010803" pitchFamily="18" charset="0"/>
          </a:endParaRPr>
        </a:p>
        <a:p>
          <a:r>
            <a:rPr lang="en-US" sz="1200" baseline="0">
              <a:latin typeface="Garamond" panose="02020404030301010803" pitchFamily="18" charset="0"/>
            </a:rPr>
            <a:t>In a lot of capital budgeting cases, cash flows are likely to occur as a stream throughtout the year rather than a single year-end or quarter-end cash flow. Is there a compromise?</a:t>
          </a:r>
        </a:p>
        <a:p>
          <a:endParaRPr lang="en-US" sz="1200" baseline="0">
            <a:latin typeface="Garamond" panose="02020404030301010803" pitchFamily="18" charset="0"/>
          </a:endParaRPr>
        </a:p>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13608</xdr:colOff>
      <xdr:row>1</xdr:row>
      <xdr:rowOff>0</xdr:rowOff>
    </xdr:from>
    <xdr:to>
      <xdr:col>22</xdr:col>
      <xdr:colOff>149675</xdr:colOff>
      <xdr:row>36</xdr:row>
      <xdr:rowOff>176893</xdr:rowOff>
    </xdr:to>
    <xdr:sp macro="" textlink="">
      <xdr:nvSpPr>
        <xdr:cNvPr id="2" name="TextBox 1">
          <a:extLst>
            <a:ext uri="{FF2B5EF4-FFF2-40B4-BE49-F238E27FC236}">
              <a16:creationId xmlns:a16="http://schemas.microsoft.com/office/drawing/2014/main" xmlns="" id="{00000000-0008-0000-0800-000002000000}"/>
            </a:ext>
          </a:extLst>
        </xdr:cNvPr>
        <xdr:cNvSpPr txBox="1"/>
      </xdr:nvSpPr>
      <xdr:spPr>
        <a:xfrm>
          <a:off x="12899572" y="190500"/>
          <a:ext cx="8327567" cy="6844393"/>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Project five years of financial statements for Cooper Dental, a company that manufactures and sells dental equipment. Calculate FCFs and run a DCF analysis to estimate the equity value.</a:t>
          </a:r>
          <a:r>
            <a:rPr lang="en-US" sz="1200" baseline="0">
              <a:solidFill>
                <a:schemeClr val="dk1"/>
              </a:solidFill>
              <a:effectLst/>
              <a:latin typeface="Garamond" panose="02020404030301010803" pitchFamily="18" charset="0"/>
              <a:ea typeface="+mn-ea"/>
              <a:cs typeface="+mn-cs"/>
            </a:rPr>
            <a:t> Conduct a sensitivity analysis in the end.</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Starting point is </a:t>
          </a:r>
          <a:r>
            <a:rPr lang="en-US" sz="1200">
              <a:solidFill>
                <a:schemeClr val="dk1"/>
              </a:solidFill>
              <a:effectLst/>
              <a:latin typeface="Garamond" panose="02020404030301010803" pitchFamily="18" charset="0"/>
              <a:ea typeface="+mn-ea"/>
              <a:cs typeface="+mn-cs"/>
            </a:rPr>
            <a:t>Cooper Dental</a:t>
          </a:r>
          <a:r>
            <a:rPr lang="en-US" sz="1200" baseline="0">
              <a:solidFill>
                <a:schemeClr val="dk1"/>
              </a:solidFill>
              <a:effectLst/>
              <a:latin typeface="Garamond" panose="02020404030301010803" pitchFamily="18" charset="0"/>
              <a:ea typeface="+mn-ea"/>
              <a:cs typeface="+mn-cs"/>
            </a:rPr>
            <a:t>'s current income statement and balance sheet for year-end 2017.</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r>
            <a:rPr lang="en-US" sz="1200" b="1">
              <a:latin typeface="Garamond" panose="02020404030301010803" pitchFamily="18" charset="0"/>
            </a:rPr>
            <a:t>Projection assumptions:</a:t>
          </a:r>
        </a:p>
        <a:p>
          <a:r>
            <a:rPr lang="en-US" sz="1200">
              <a:latin typeface="Garamond" panose="02020404030301010803" pitchFamily="18" charset="0"/>
            </a:rPr>
            <a:t>-</a:t>
          </a:r>
          <a:r>
            <a:rPr lang="en-US" sz="1200">
              <a:solidFill>
                <a:schemeClr val="dk1"/>
              </a:solidFill>
              <a:effectLst/>
              <a:latin typeface="Garamond" panose="02020404030301010803" pitchFamily="18" charset="0"/>
              <a:ea typeface="+mn-ea"/>
              <a:cs typeface="+mn-cs"/>
            </a:rPr>
            <a:t>Cooper Dental</a:t>
          </a:r>
          <a:r>
            <a:rPr lang="en-US" sz="1200">
              <a:latin typeface="Garamond" panose="02020404030301010803" pitchFamily="18" charset="0"/>
            </a:rPr>
            <a:t>'s current level of sales is $10,000,000. Over the 5-year</a:t>
          </a:r>
          <a:r>
            <a:rPr lang="en-US" sz="1200" baseline="0">
              <a:latin typeface="Garamond" panose="02020404030301010803" pitchFamily="18" charset="0"/>
            </a:rPr>
            <a:t> horizon of the financial planning model, the firm expects its sales to grow at a rate of 10% per year.</a:t>
          </a:r>
        </a:p>
        <a:p>
          <a:r>
            <a:rPr lang="en-US" sz="1200" baseline="0">
              <a:latin typeface="Garamond" panose="02020404030301010803" pitchFamily="18" charset="0"/>
            </a:rPr>
            <a:t>-Current assets will be 15% of annual firm sales.</a:t>
          </a:r>
        </a:p>
        <a:p>
          <a:r>
            <a:rPr lang="en-US" sz="1200" baseline="0">
              <a:latin typeface="Garamond" panose="02020404030301010803" pitchFamily="18" charset="0"/>
            </a:rPr>
            <a:t>-Current liabilities will be 8% of annual firm sales.</a:t>
          </a:r>
        </a:p>
        <a:p>
          <a:r>
            <a:rPr lang="en-US" sz="1200" baseline="0">
              <a:latin typeface="Garamond" panose="02020404030301010803" pitchFamily="18" charset="0"/>
            </a:rPr>
            <a:t>-Net fixed assets are assumed to be 77% of annual sales.</a:t>
          </a:r>
        </a:p>
        <a:p>
          <a:r>
            <a:rPr lang="en-US" sz="1200" baseline="0">
              <a:latin typeface="Garamond" panose="02020404030301010803" pitchFamily="18" charset="0"/>
            </a:rPr>
            <a:t>-Annual depreciation charge is 10% of average value of the fixed assets on the books during the year.</a:t>
          </a:r>
        </a:p>
        <a:p>
          <a:r>
            <a:rPr lang="en-US" sz="1200" baseline="0">
              <a:latin typeface="Garamond" panose="02020404030301010803" pitchFamily="18" charset="0"/>
            </a:rPr>
            <a:t>-Cost of goods sold is assumed to be 50% of sales.</a:t>
          </a:r>
        </a:p>
        <a:p>
          <a:r>
            <a:rPr lang="en-US" sz="1200" baseline="0">
              <a:latin typeface="Garamond" panose="02020404030301010803" pitchFamily="18" charset="0"/>
            </a:rPr>
            <a:t>-Interest rate on debt is 10% of average value of debts.</a:t>
          </a:r>
        </a:p>
        <a:p>
          <a:r>
            <a:rPr lang="en-US" sz="1200" baseline="0">
              <a:latin typeface="Garamond" panose="02020404030301010803" pitchFamily="18" charset="0"/>
            </a:rPr>
            <a:t>-Interest earned on cash is 8% of the average balance of cash.</a:t>
          </a:r>
        </a:p>
        <a:p>
          <a:r>
            <a:rPr lang="en-US" sz="1200" baseline="0">
              <a:latin typeface="Garamond" panose="02020404030301010803" pitchFamily="18" charset="0"/>
            </a:rPr>
            <a:t>-Tax rate is 40% of firm's profit before taxes.</a:t>
          </a:r>
        </a:p>
        <a:p>
          <a:r>
            <a:rPr lang="en-US" sz="1200" baseline="0">
              <a:latin typeface="Garamond" panose="02020404030301010803" pitchFamily="18" charset="0"/>
            </a:rPr>
            <a:t>-Dividends: The firm pays out 40% of its profits after taxes as dividends to shareholders.</a:t>
          </a:r>
        </a:p>
        <a:p>
          <a:r>
            <a:rPr lang="en-US" sz="1200" baseline="0">
              <a:latin typeface="Garamond" panose="02020404030301010803" pitchFamily="18" charset="0"/>
            </a:rPr>
            <a:t>-Debt: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currently has debt of $3,200,000. The company's agreement with the bank specifies that it will repay $800,000 of this debt in each of the next 4 years. Once the debt is fully repaid, the company intends to stay debt-free.</a:t>
          </a:r>
        </a:p>
        <a:p>
          <a:r>
            <a:rPr lang="en-US" sz="1200" baseline="0">
              <a:latin typeface="Garamond" panose="02020404030301010803" pitchFamily="18" charset="0"/>
            </a:rPr>
            <a:t>-Stock: Company has 1 million shares outstanding and does not intend either to issue new stock or to repurchase stock over the 5-year model horizon. Stock item remains at 2016 level.</a:t>
          </a:r>
        </a:p>
        <a:p>
          <a:r>
            <a:rPr lang="en-US" sz="1200">
              <a:latin typeface="Garamond" panose="02020404030301010803" pitchFamily="18" charset="0"/>
            </a:rPr>
            <a:t>-Cash: This item is the </a:t>
          </a:r>
          <a:r>
            <a:rPr lang="en-US" sz="1200" i="1">
              <a:solidFill>
                <a:srgbClr val="FF0000"/>
              </a:solidFill>
              <a:latin typeface="Garamond" panose="02020404030301010803" pitchFamily="18" charset="0"/>
            </a:rPr>
            <a:t>plug</a:t>
          </a:r>
          <a:r>
            <a:rPr lang="en-US" sz="1200">
              <a:latin typeface="Garamond" panose="02020404030301010803" pitchFamily="18" charset="0"/>
            </a:rPr>
            <a:t>. The cash item is defined so that the left-hand side of the balance sheet always equals the right-hand side of the balance sheets: Cash = total liabilities and equity -</a:t>
          </a:r>
          <a:r>
            <a:rPr lang="en-US" sz="1200" baseline="0">
              <a:latin typeface="Garamond" panose="02020404030301010803" pitchFamily="18" charset="0"/>
            </a:rPr>
            <a:t> current assets - net fixed assets. </a:t>
          </a:r>
        </a:p>
        <a:p>
          <a:endParaRPr lang="en-US" sz="1200" baseline="0">
            <a:latin typeface="Garamond" panose="02020404030301010803" pitchFamily="18" charset="0"/>
          </a:endParaRPr>
        </a:p>
        <a:p>
          <a:r>
            <a:rPr lang="en-US" sz="1200" baseline="0">
              <a:latin typeface="Garamond" panose="02020404030301010803" pitchFamily="18" charset="0"/>
            </a:rPr>
            <a:t>For DCF valuation, assume the WACC for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is 14% and the long-term growth rate of FCFs is 6%. </a:t>
          </a:r>
        </a:p>
        <a:p>
          <a:endParaRPr lang="en-US" sz="1200">
            <a:latin typeface="Garamond" panose="02020404030301010803" pitchFamily="18" charset="0"/>
          </a:endParaRPr>
        </a:p>
        <a:p>
          <a:r>
            <a:rPr lang="en-US" sz="1200" b="1">
              <a:latin typeface="Garamond" panose="02020404030301010803" pitchFamily="18" charset="0"/>
            </a:rPr>
            <a:t>Analysis:</a:t>
          </a:r>
        </a:p>
        <a:p>
          <a:r>
            <a:rPr lang="en-US" sz="1200">
              <a:latin typeface="Garamond" panose="02020404030301010803" pitchFamily="18" charset="0"/>
            </a:rPr>
            <a:t>-What's the firm's value based</a:t>
          </a:r>
          <a:r>
            <a:rPr lang="en-US" sz="1200" baseline="0">
              <a:latin typeface="Garamond" panose="02020404030301010803" pitchFamily="18" charset="0"/>
            </a:rPr>
            <a:t> on DCF valuation?</a:t>
          </a:r>
        </a:p>
        <a:p>
          <a:r>
            <a:rPr lang="en-US" sz="1200" baseline="0">
              <a:latin typeface="Garamond" panose="02020404030301010803" pitchFamily="18" charset="0"/>
            </a:rPr>
            <a:t>-What's the estimated value per share for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Using mid-year discounting?</a:t>
          </a:r>
        </a:p>
        <a:p>
          <a:r>
            <a:rPr lang="en-US" sz="1200" baseline="0">
              <a:latin typeface="Garamond" panose="02020404030301010803" pitchFamily="18" charset="0"/>
            </a:rPr>
            <a:t>-If the current market value of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share is $10, what's our recommendation for this stock?</a:t>
          </a:r>
        </a:p>
        <a:p>
          <a:r>
            <a:rPr lang="en-US" sz="1200" baseline="0">
              <a:latin typeface="Garamond" panose="02020404030301010803" pitchFamily="18" charset="0"/>
            </a:rPr>
            <a:t>-Conduct a sensitivity analysis showing the value per share as a function of sales growth rate.</a:t>
          </a:r>
        </a:p>
        <a:p>
          <a:r>
            <a:rPr lang="en-US" sz="1200" baseline="0">
              <a:latin typeface="Garamond" panose="02020404030301010803" pitchFamily="18" charset="0"/>
            </a:rPr>
            <a:t>-Another sensitivity analysis showing the value per share as a function of long-term FCF growth and WACC.</a:t>
          </a:r>
        </a:p>
        <a:p>
          <a:r>
            <a:rPr lang="en-US" sz="1200" baseline="0">
              <a:latin typeface="Garamond" panose="02020404030301010803" pitchFamily="18" charset="0"/>
            </a:rPr>
            <a:t>-Conduct a scenario analysis showing the value per share under optimistic/pessimistic scenarios.</a:t>
          </a:r>
        </a:p>
        <a:p>
          <a:r>
            <a:rPr lang="en-US" sz="1200" baseline="0">
              <a:latin typeface="Garamond" panose="02020404030301010803" pitchFamily="18" charset="0"/>
            </a:rPr>
            <a:t>  Optimistic: Sales growth 18%, COGS/sales 40%, WACC 12%, FCF growth 8%.</a:t>
          </a:r>
        </a:p>
        <a:p>
          <a:r>
            <a:rPr lang="en-US" sz="1200" baseline="0">
              <a:latin typeface="Garamond" panose="02020404030301010803" pitchFamily="18" charset="0"/>
            </a:rPr>
            <a:t>  Pessimistic: Sales growth 5%, COGS/sales 55%, WACC 16%, FCF growth 3%.</a:t>
          </a:r>
          <a:endParaRPr lang="en-US" sz="1200">
            <a:latin typeface="Garamond" panose="02020404030301010803"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78" workbookViewId="0">
      <selection activeCell="B7" sqref="B7"/>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B19"/>
  <sheetViews>
    <sheetView zoomScale="120" zoomScaleNormal="120" workbookViewId="0">
      <selection activeCell="F14" sqref="F14"/>
    </sheetView>
  </sheetViews>
  <sheetFormatPr defaultColWidth="9.140625" defaultRowHeight="15" x14ac:dyDescent="0.25"/>
  <cols>
    <col min="1" max="1" width="13" style="1" customWidth="1"/>
    <col min="2" max="2" width="14.140625" style="1" customWidth="1"/>
    <col min="3" max="16384" width="9.140625" style="1"/>
  </cols>
  <sheetData>
    <row r="9" spans="1:2" x14ac:dyDescent="0.25">
      <c r="A9" s="2" t="s">
        <v>2</v>
      </c>
      <c r="B9" s="3">
        <v>0.15</v>
      </c>
    </row>
    <row r="10" spans="1:2" x14ac:dyDescent="0.25">
      <c r="A10" s="2"/>
      <c r="B10" s="2"/>
    </row>
    <row r="11" spans="1:2" x14ac:dyDescent="0.25">
      <c r="A11" s="2"/>
      <c r="B11" s="2"/>
    </row>
    <row r="12" spans="1:2" x14ac:dyDescent="0.25">
      <c r="A12" s="2" t="s">
        <v>0</v>
      </c>
      <c r="B12" s="2" t="s">
        <v>1</v>
      </c>
    </row>
    <row r="13" spans="1:2" x14ac:dyDescent="0.25">
      <c r="A13" s="2">
        <v>0</v>
      </c>
      <c r="B13" s="6">
        <v>-1000</v>
      </c>
    </row>
    <row r="14" spans="1:2" x14ac:dyDescent="0.25">
      <c r="A14" s="2">
        <v>1</v>
      </c>
      <c r="B14" s="6">
        <v>100</v>
      </c>
    </row>
    <row r="15" spans="1:2" x14ac:dyDescent="0.25">
      <c r="A15" s="2">
        <v>2</v>
      </c>
      <c r="B15" s="6">
        <v>200</v>
      </c>
    </row>
    <row r="16" spans="1:2" x14ac:dyDescent="0.25">
      <c r="A16" s="2">
        <v>3</v>
      </c>
      <c r="B16" s="6">
        <v>300</v>
      </c>
    </row>
    <row r="17" spans="1:2" x14ac:dyDescent="0.25">
      <c r="A17" s="2">
        <v>4</v>
      </c>
      <c r="B17" s="6">
        <v>400</v>
      </c>
    </row>
    <row r="18" spans="1:2" x14ac:dyDescent="0.25">
      <c r="A18" s="2">
        <v>5</v>
      </c>
      <c r="B18" s="6">
        <v>500</v>
      </c>
    </row>
    <row r="19" spans="1:2" x14ac:dyDescent="0.25">
      <c r="A19" s="2">
        <v>6</v>
      </c>
      <c r="B19" s="6">
        <v>600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C21"/>
  <sheetViews>
    <sheetView zoomScale="120" zoomScaleNormal="120" workbookViewId="0">
      <selection activeCell="D10" sqref="D10"/>
    </sheetView>
  </sheetViews>
  <sheetFormatPr defaultColWidth="8.85546875" defaultRowHeight="15" x14ac:dyDescent="0.25"/>
  <cols>
    <col min="1" max="1" width="12.7109375" bestFit="1" customWidth="1"/>
    <col min="2" max="3" width="9.7109375" bestFit="1" customWidth="1"/>
  </cols>
  <sheetData>
    <row r="12" spans="1:3" x14ac:dyDescent="0.25">
      <c r="A12" s="4" t="s">
        <v>2</v>
      </c>
      <c r="B12" s="3">
        <v>0.15</v>
      </c>
      <c r="C12" s="4"/>
    </row>
    <row r="13" spans="1:3" x14ac:dyDescent="0.25">
      <c r="A13" s="4"/>
      <c r="B13" s="4"/>
      <c r="C13" s="4"/>
    </row>
    <row r="14" spans="1:3" x14ac:dyDescent="0.25">
      <c r="A14" s="4"/>
      <c r="B14" s="4"/>
      <c r="C14" s="4"/>
    </row>
    <row r="15" spans="1:3" x14ac:dyDescent="0.25">
      <c r="A15" s="4" t="s">
        <v>0</v>
      </c>
      <c r="B15" s="4" t="s">
        <v>3</v>
      </c>
      <c r="C15" s="4" t="s">
        <v>4</v>
      </c>
    </row>
    <row r="16" spans="1:3" x14ac:dyDescent="0.25">
      <c r="A16" s="4">
        <v>0</v>
      </c>
      <c r="B16" s="6">
        <v>-500</v>
      </c>
      <c r="C16" s="6">
        <v>-500</v>
      </c>
    </row>
    <row r="17" spans="1:3" x14ac:dyDescent="0.25">
      <c r="A17" s="4">
        <v>1</v>
      </c>
      <c r="B17" s="6">
        <v>100</v>
      </c>
      <c r="C17" s="6">
        <v>250</v>
      </c>
    </row>
    <row r="18" spans="1:3" x14ac:dyDescent="0.25">
      <c r="A18" s="4">
        <v>2</v>
      </c>
      <c r="B18" s="6">
        <v>100</v>
      </c>
      <c r="C18" s="6">
        <v>250</v>
      </c>
    </row>
    <row r="19" spans="1:3" x14ac:dyDescent="0.25">
      <c r="A19" s="4">
        <v>3</v>
      </c>
      <c r="B19" s="6">
        <v>150</v>
      </c>
      <c r="C19" s="6">
        <v>200</v>
      </c>
    </row>
    <row r="20" spans="1:3" x14ac:dyDescent="0.25">
      <c r="A20" s="4">
        <v>4</v>
      </c>
      <c r="B20" s="6">
        <v>200</v>
      </c>
      <c r="C20" s="6">
        <v>100</v>
      </c>
    </row>
    <row r="21" spans="1:3" x14ac:dyDescent="0.25">
      <c r="A21" s="4">
        <v>5</v>
      </c>
      <c r="B21" s="6">
        <v>400</v>
      </c>
      <c r="C21" s="6">
        <v>50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F19" sqref="F19"/>
    </sheetView>
  </sheetViews>
  <sheetFormatPr defaultColWidth="8.85546875"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zoomScaleNormal="100" workbookViewId="0">
      <selection activeCell="F26" sqref="F26"/>
    </sheetView>
  </sheetViews>
  <sheetFormatPr defaultColWidth="8.85546875" defaultRowHeight="15"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I20" sqref="I20"/>
    </sheetView>
  </sheetViews>
  <sheetFormatPr defaultColWidth="8.85546875"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G20" sqref="G20"/>
    </sheetView>
  </sheetViews>
  <sheetFormatPr defaultColWidth="8.85546875" defaultRowHeight="15" x14ac:dyDescent="0.2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110" zoomScaleNormal="110" workbookViewId="0">
      <selection activeCell="D18" sqref="D18"/>
    </sheetView>
  </sheetViews>
  <sheetFormatPr defaultColWidth="8.85546875" defaultRowHeight="15"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B1:G14"/>
  <sheetViews>
    <sheetView showGridLines="0" tabSelected="1" workbookViewId="0"/>
  </sheetViews>
  <sheetFormatPr defaultRowHeight="15" outlineLevelRow="1" outlineLevelCol="1" x14ac:dyDescent="0.25"/>
  <cols>
    <col min="3" max="3" width="6.28515625" customWidth="1"/>
    <col min="4" max="7" width="15.28515625" bestFit="1" customWidth="1" outlineLevel="1"/>
  </cols>
  <sheetData>
    <row r="1" spans="2:7" ht="15.75" thickBot="1" x14ac:dyDescent="0.3"/>
    <row r="2" spans="2:7" ht="15.75" x14ac:dyDescent="0.25">
      <c r="B2" s="18" t="s">
        <v>56</v>
      </c>
      <c r="C2" s="18"/>
      <c r="D2" s="23"/>
      <c r="E2" s="23"/>
      <c r="F2" s="23"/>
      <c r="G2" s="23"/>
    </row>
    <row r="3" spans="2:7" ht="15.75" collapsed="1" x14ac:dyDescent="0.25">
      <c r="B3" s="17"/>
      <c r="C3" s="17"/>
      <c r="D3" s="24" t="s">
        <v>58</v>
      </c>
      <c r="E3" s="24" t="s">
        <v>54</v>
      </c>
      <c r="F3" s="24" t="s">
        <v>44</v>
      </c>
      <c r="G3" s="24" t="s">
        <v>47</v>
      </c>
    </row>
    <row r="4" spans="2:7" ht="33.75" hidden="1" outlineLevel="1" x14ac:dyDescent="0.25">
      <c r="B4" s="20"/>
      <c r="C4" s="20"/>
      <c r="D4" s="14"/>
      <c r="E4" s="26" t="s">
        <v>55</v>
      </c>
      <c r="F4" s="26" t="s">
        <v>63</v>
      </c>
      <c r="G4" s="26" t="s">
        <v>63</v>
      </c>
    </row>
    <row r="5" spans="2:7" x14ac:dyDescent="0.25">
      <c r="B5" s="21" t="s">
        <v>57</v>
      </c>
      <c r="C5" s="21"/>
      <c r="D5" s="19"/>
      <c r="E5" s="19"/>
      <c r="F5" s="19"/>
      <c r="G5" s="19"/>
    </row>
    <row r="6" spans="2:7" outlineLevel="1" x14ac:dyDescent="0.25">
      <c r="B6" s="20"/>
      <c r="C6" s="20" t="s">
        <v>49</v>
      </c>
      <c r="D6" s="27">
        <v>10000000</v>
      </c>
      <c r="E6" s="28">
        <v>10000000</v>
      </c>
      <c r="F6" s="28">
        <v>11800000</v>
      </c>
      <c r="G6" s="28">
        <v>10500000</v>
      </c>
    </row>
    <row r="7" spans="2:7" outlineLevel="1" x14ac:dyDescent="0.25">
      <c r="B7" s="20"/>
      <c r="C7" s="20" t="s">
        <v>50</v>
      </c>
      <c r="D7" s="27">
        <v>5000000</v>
      </c>
      <c r="E7" s="28">
        <v>5000000</v>
      </c>
      <c r="F7" s="28">
        <v>4720000</v>
      </c>
      <c r="G7" s="28">
        <v>5775000</v>
      </c>
    </row>
    <row r="8" spans="2:7" outlineLevel="1" x14ac:dyDescent="0.25">
      <c r="B8" s="20"/>
      <c r="C8" s="20" t="s">
        <v>51</v>
      </c>
      <c r="D8" s="15">
        <v>0.14000000000000001</v>
      </c>
      <c r="E8" s="25">
        <v>0.14000000000000001</v>
      </c>
      <c r="F8" s="25">
        <v>0.12</v>
      </c>
      <c r="G8" s="25">
        <v>0.16</v>
      </c>
    </row>
    <row r="9" spans="2:7" outlineLevel="1" x14ac:dyDescent="0.25">
      <c r="B9" s="20"/>
      <c r="C9" s="20" t="s">
        <v>52</v>
      </c>
      <c r="D9" s="15">
        <v>0.06</v>
      </c>
      <c r="E9" s="25">
        <v>0.06</v>
      </c>
      <c r="F9" s="25">
        <v>0.08</v>
      </c>
      <c r="G9" s="25">
        <v>0.03</v>
      </c>
    </row>
    <row r="10" spans="2:7" x14ac:dyDescent="0.25">
      <c r="B10" s="21" t="s">
        <v>59</v>
      </c>
      <c r="C10" s="21"/>
      <c r="D10" s="19"/>
      <c r="E10" s="19"/>
      <c r="F10" s="19"/>
      <c r="G10" s="19"/>
    </row>
    <row r="11" spans="2:7" ht="15.75" outlineLevel="1" thickBot="1" x14ac:dyDescent="0.3">
      <c r="B11" s="22"/>
      <c r="C11" s="22" t="s">
        <v>53</v>
      </c>
      <c r="D11" s="16">
        <v>26.918864282133601</v>
      </c>
      <c r="E11" s="16">
        <v>26.918864282133601</v>
      </c>
      <c r="F11" s="16">
        <v>46.320576655424198</v>
      </c>
      <c r="G11" s="16">
        <v>19.4566672154834</v>
      </c>
    </row>
    <row r="12" spans="2:7" x14ac:dyDescent="0.25">
      <c r="B12" t="s">
        <v>60</v>
      </c>
    </row>
    <row r="13" spans="2:7" x14ac:dyDescent="0.25">
      <c r="B13" t="s">
        <v>61</v>
      </c>
    </row>
    <row r="14" spans="2:7" x14ac:dyDescent="0.25">
      <c r="B14" t="s">
        <v>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3:M93"/>
  <sheetViews>
    <sheetView topLeftCell="A66" zoomScale="70" zoomScaleNormal="70" workbookViewId="0">
      <selection activeCell="C90" sqref="C90"/>
    </sheetView>
  </sheetViews>
  <sheetFormatPr defaultColWidth="8.85546875" defaultRowHeight="15" x14ac:dyDescent="0.25"/>
  <cols>
    <col min="1" max="1" width="46.28515625" bestFit="1" customWidth="1"/>
    <col min="2" max="2" width="25.42578125" customWidth="1"/>
    <col min="3" max="3" width="17.42578125" bestFit="1" customWidth="1"/>
    <col min="4" max="4" width="17.28515625" customWidth="1"/>
    <col min="5" max="5" width="20.85546875" customWidth="1"/>
    <col min="6" max="6" width="17.7109375" customWidth="1"/>
    <col min="7" max="7" width="18.5703125" customWidth="1"/>
    <col min="8" max="8" width="20.7109375" customWidth="1"/>
    <col min="13" max="13" width="17.5703125" customWidth="1"/>
  </cols>
  <sheetData>
    <row r="13" spans="1:8" x14ac:dyDescent="0.25">
      <c r="A13" s="4" t="s">
        <v>0</v>
      </c>
      <c r="B13" s="4">
        <v>2017</v>
      </c>
      <c r="C13">
        <v>2018</v>
      </c>
      <c r="D13">
        <v>2019</v>
      </c>
      <c r="E13">
        <v>2020</v>
      </c>
      <c r="F13">
        <v>2021</v>
      </c>
      <c r="G13">
        <v>2022</v>
      </c>
      <c r="H13">
        <v>2023</v>
      </c>
    </row>
    <row r="14" spans="1:8" x14ac:dyDescent="0.25">
      <c r="A14" s="4" t="s">
        <v>5</v>
      </c>
      <c r="B14" s="4"/>
    </row>
    <row r="15" spans="1:8" x14ac:dyDescent="0.25">
      <c r="A15" s="4" t="s">
        <v>6</v>
      </c>
      <c r="B15" s="5">
        <v>10000000</v>
      </c>
      <c r="C15" s="8">
        <f>1.1*B15</f>
        <v>11000000</v>
      </c>
      <c r="D15" s="8">
        <f t="shared" ref="D15:G15" si="0">1.1*C15</f>
        <v>12100000.000000002</v>
      </c>
      <c r="E15" s="8">
        <f t="shared" si="0"/>
        <v>13310000.000000004</v>
      </c>
      <c r="F15" s="8">
        <f t="shared" si="0"/>
        <v>14641000.000000006</v>
      </c>
      <c r="G15" s="8">
        <f t="shared" si="0"/>
        <v>16105100.000000007</v>
      </c>
      <c r="H15" s="8">
        <f t="shared" ref="H15" si="1">1.1*G15</f>
        <v>17715610.000000011</v>
      </c>
    </row>
    <row r="16" spans="1:8" x14ac:dyDescent="0.25">
      <c r="A16" s="4" t="s">
        <v>7</v>
      </c>
      <c r="B16" s="5">
        <v>-5000000</v>
      </c>
      <c r="C16" s="8">
        <f>0.5*C15*-1</f>
        <v>-5500000</v>
      </c>
      <c r="D16" s="8">
        <f>0.5*D15*-1</f>
        <v>-6050000.0000000009</v>
      </c>
      <c r="E16" s="8">
        <f t="shared" ref="E16:H16" si="2">0.5*E15*-1</f>
        <v>-6655000.0000000019</v>
      </c>
      <c r="F16" s="8">
        <f t="shared" si="2"/>
        <v>-7320500.0000000028</v>
      </c>
      <c r="G16" s="8">
        <f t="shared" si="2"/>
        <v>-8052550.0000000037</v>
      </c>
      <c r="H16" s="8">
        <f t="shared" si="2"/>
        <v>-8857805.0000000056</v>
      </c>
    </row>
    <row r="17" spans="1:8" x14ac:dyDescent="0.25">
      <c r="A17" s="4" t="s">
        <v>8</v>
      </c>
      <c r="B17" s="5">
        <v>-1000000</v>
      </c>
      <c r="C17" s="8">
        <f>-C33*0.1/0.9</f>
        <v>-941111.11111111112</v>
      </c>
      <c r="D17" s="8">
        <f t="shared" ref="D17:G17" si="3">-D33*0.1/0.9</f>
        <v>-1035222.2222222225</v>
      </c>
      <c r="E17" s="8">
        <f t="shared" si="3"/>
        <v>-1138744.444444445</v>
      </c>
      <c r="F17" s="8">
        <f t="shared" si="3"/>
        <v>-1252618.8888888895</v>
      </c>
      <c r="G17" s="8">
        <f t="shared" si="3"/>
        <v>-1377880.7777777785</v>
      </c>
      <c r="H17" s="8">
        <f t="shared" ref="H17" si="4">-H33*0.1/0.9</f>
        <v>-1515668.8555555565</v>
      </c>
    </row>
    <row r="18" spans="1:8" x14ac:dyDescent="0.25">
      <c r="A18" s="4" t="s">
        <v>9</v>
      </c>
      <c r="B18" s="5">
        <v>-320000</v>
      </c>
      <c r="C18" s="8">
        <f>0.1*C37*-1</f>
        <v>-320000</v>
      </c>
      <c r="D18" s="8">
        <f t="shared" ref="D18:G18" si="5">0.1*D37*-1</f>
        <v>-320000</v>
      </c>
      <c r="E18" s="8">
        <f t="shared" si="5"/>
        <v>-320000</v>
      </c>
      <c r="F18" s="8">
        <f t="shared" si="5"/>
        <v>-320000</v>
      </c>
      <c r="G18" s="8">
        <f t="shared" si="5"/>
        <v>-320000</v>
      </c>
      <c r="H18" s="8">
        <f t="shared" ref="H18" si="6">0.1*H37*-1</f>
        <v>-320000</v>
      </c>
    </row>
    <row r="19" spans="1:8" x14ac:dyDescent="0.25">
      <c r="A19" s="4" t="s">
        <v>10</v>
      </c>
      <c r="B19" s="5">
        <v>64000</v>
      </c>
      <c r="C19" s="8">
        <f>B28*0.08</f>
        <v>64000</v>
      </c>
      <c r="D19" s="8">
        <f t="shared" ref="D19:G19" si="7">C28*0.08</f>
        <v>120723.2</v>
      </c>
      <c r="E19" s="8">
        <f t="shared" si="7"/>
        <v>185489.628</v>
      </c>
      <c r="F19" s="8">
        <f t="shared" si="7"/>
        <v>259171.88960000002</v>
      </c>
      <c r="G19" s="8">
        <f t="shared" si="7"/>
        <v>342731.81600000005</v>
      </c>
      <c r="H19" s="8">
        <f t="shared" ref="H19" si="8">G28*0.08</f>
        <v>437229.44560000004</v>
      </c>
    </row>
    <row r="20" spans="1:8" x14ac:dyDescent="0.25">
      <c r="A20" s="4" t="s">
        <v>11</v>
      </c>
      <c r="B20" s="5">
        <v>3744000</v>
      </c>
      <c r="C20" s="8">
        <f>C15+C16+C17+C18+C19</f>
        <v>4302888.888888889</v>
      </c>
      <c r="D20" s="8">
        <f t="shared" ref="D20:H20" si="9">D15+D16+D17+D18+D19</f>
        <v>4815500.9777777782</v>
      </c>
      <c r="E20" s="8">
        <f t="shared" si="9"/>
        <v>5381745.1835555565</v>
      </c>
      <c r="F20" s="8">
        <f t="shared" si="9"/>
        <v>6007053.0007111141</v>
      </c>
      <c r="G20" s="8">
        <f t="shared" si="9"/>
        <v>6697401.0382222254</v>
      </c>
      <c r="H20" s="8">
        <f t="shared" si="9"/>
        <v>7459365.5900444491</v>
      </c>
    </row>
    <row r="21" spans="1:8" x14ac:dyDescent="0.25">
      <c r="A21" s="4" t="s">
        <v>12</v>
      </c>
      <c r="B21" s="5">
        <v>-1497600</v>
      </c>
      <c r="C21" s="8">
        <f>0.4*C20</f>
        <v>1721155.5555555557</v>
      </c>
      <c r="D21" s="8">
        <f t="shared" ref="D21:H21" si="10">0.4*D20</f>
        <v>1926200.3911111113</v>
      </c>
      <c r="E21" s="8">
        <f t="shared" si="10"/>
        <v>2152698.0734222229</v>
      </c>
      <c r="F21" s="8">
        <f t="shared" si="10"/>
        <v>2402821.2002844457</v>
      </c>
      <c r="G21" s="8">
        <f t="shared" si="10"/>
        <v>2678960.4152888902</v>
      </c>
      <c r="H21" s="8">
        <f t="shared" si="10"/>
        <v>2983746.2360177799</v>
      </c>
    </row>
    <row r="22" spans="1:8" x14ac:dyDescent="0.25">
      <c r="A22" s="4" t="s">
        <v>13</v>
      </c>
      <c r="B22" s="5">
        <v>2246400</v>
      </c>
      <c r="C22" s="8">
        <f>C20-C21</f>
        <v>2581733.333333333</v>
      </c>
      <c r="D22" s="8">
        <f t="shared" ref="D22:H22" si="11">D20-D21</f>
        <v>2889300.5866666669</v>
      </c>
      <c r="E22" s="8">
        <f t="shared" si="11"/>
        <v>3229047.1101333336</v>
      </c>
      <c r="F22" s="8">
        <f t="shared" si="11"/>
        <v>3604231.8004266685</v>
      </c>
      <c r="G22" s="8">
        <f t="shared" si="11"/>
        <v>4018440.6229333351</v>
      </c>
      <c r="H22" s="8">
        <f t="shared" si="11"/>
        <v>4475619.3540266696</v>
      </c>
    </row>
    <row r="23" spans="1:8" x14ac:dyDescent="0.25">
      <c r="A23" s="4" t="s">
        <v>14</v>
      </c>
      <c r="B23" s="5">
        <v>-898560</v>
      </c>
      <c r="C23" s="8">
        <f>-0.4*C22</f>
        <v>-1032693.3333333333</v>
      </c>
      <c r="D23" s="8">
        <f t="shared" ref="D23:H23" si="12">-0.4*D22</f>
        <v>-1155720.2346666667</v>
      </c>
      <c r="E23" s="8">
        <f t="shared" si="12"/>
        <v>-1291618.8440533336</v>
      </c>
      <c r="F23" s="8">
        <f t="shared" si="12"/>
        <v>-1441692.7201706674</v>
      </c>
      <c r="G23" s="8">
        <f t="shared" si="12"/>
        <v>-1607376.2491733341</v>
      </c>
      <c r="H23" s="8">
        <f t="shared" si="12"/>
        <v>-1790247.7416106679</v>
      </c>
    </row>
    <row r="24" spans="1:8" x14ac:dyDescent="0.25">
      <c r="A24" s="4" t="s">
        <v>15</v>
      </c>
      <c r="B24" s="5">
        <v>1347840</v>
      </c>
      <c r="C24" s="8">
        <f>C22+C23</f>
        <v>1549039.9999999998</v>
      </c>
      <c r="D24" s="8">
        <f t="shared" ref="D24:H24" si="13">D22+D23</f>
        <v>1733580.3520000002</v>
      </c>
      <c r="E24" s="8">
        <f t="shared" si="13"/>
        <v>1937428.26608</v>
      </c>
      <c r="F24" s="8">
        <f t="shared" si="13"/>
        <v>2162539.0802560011</v>
      </c>
      <c r="G24" s="8">
        <f t="shared" si="13"/>
        <v>2411064.3737600008</v>
      </c>
      <c r="H24" s="8">
        <f t="shared" si="13"/>
        <v>2685371.612416002</v>
      </c>
    </row>
    <row r="25" spans="1:8" x14ac:dyDescent="0.25">
      <c r="A25" s="4"/>
      <c r="B25" s="5"/>
    </row>
    <row r="26" spans="1:8" x14ac:dyDescent="0.25">
      <c r="A26" s="4"/>
      <c r="B26" s="5"/>
    </row>
    <row r="27" spans="1:8" x14ac:dyDescent="0.25">
      <c r="A27" s="4" t="s">
        <v>16</v>
      </c>
      <c r="B27" s="5"/>
    </row>
    <row r="28" spans="1:8" x14ac:dyDescent="0.25">
      <c r="A28" s="4" t="s">
        <v>17</v>
      </c>
      <c r="B28" s="5">
        <v>800000</v>
      </c>
      <c r="C28" s="8">
        <v>1509040</v>
      </c>
      <c r="D28" s="11">
        <v>2318620.35</v>
      </c>
      <c r="E28">
        <v>3239648.62</v>
      </c>
      <c r="F28">
        <v>4284147.7</v>
      </c>
      <c r="G28" s="11">
        <v>5465368.0700000003</v>
      </c>
      <c r="H28">
        <v>6797911.2800000003</v>
      </c>
    </row>
    <row r="29" spans="1:8" x14ac:dyDescent="0.25">
      <c r="A29" s="4" t="s">
        <v>18</v>
      </c>
      <c r="B29" s="5">
        <v>1500000</v>
      </c>
      <c r="C29" s="8">
        <f>0.15*C15</f>
        <v>1650000</v>
      </c>
      <c r="D29" s="8">
        <f t="shared" ref="D29:G29" si="14">0.15*D15</f>
        <v>1815000.0000000002</v>
      </c>
      <c r="E29" s="8">
        <f t="shared" si="14"/>
        <v>1996500.0000000005</v>
      </c>
      <c r="F29" s="8">
        <f t="shared" si="14"/>
        <v>2196150.0000000009</v>
      </c>
      <c r="G29" s="8">
        <f t="shared" si="14"/>
        <v>2415765.0000000009</v>
      </c>
      <c r="H29" s="8">
        <f t="shared" ref="H29" si="15">0.15*H15</f>
        <v>2657341.5000000014</v>
      </c>
    </row>
    <row r="30" spans="1:8" x14ac:dyDescent="0.25">
      <c r="A30" s="4" t="s">
        <v>19</v>
      </c>
      <c r="B30" s="5"/>
    </row>
    <row r="31" spans="1:8" x14ac:dyDescent="0.25">
      <c r="A31" s="4" t="s">
        <v>20</v>
      </c>
      <c r="B31" s="5">
        <v>10700000</v>
      </c>
      <c r="C31" s="8">
        <f>C33-C32</f>
        <v>9411111.1111111119</v>
      </c>
      <c r="D31" s="8">
        <f t="shared" ref="D31:H31" si="16">D33-D32</f>
        <v>10352222.222222224</v>
      </c>
      <c r="E31" s="8">
        <f t="shared" si="16"/>
        <v>11387444.444444448</v>
      </c>
      <c r="F31" s="8">
        <f t="shared" si="16"/>
        <v>12526188.888888894</v>
      </c>
      <c r="G31" s="8">
        <f t="shared" si="16"/>
        <v>13778807.777777784</v>
      </c>
      <c r="H31" s="8">
        <f t="shared" si="16"/>
        <v>15156688.555555565</v>
      </c>
    </row>
    <row r="32" spans="1:8" x14ac:dyDescent="0.25">
      <c r="A32" s="4" t="s">
        <v>21</v>
      </c>
      <c r="B32" s="5">
        <v>-3000000</v>
      </c>
      <c r="C32" s="8">
        <f>C17</f>
        <v>-941111.11111111112</v>
      </c>
      <c r="D32" s="8">
        <f t="shared" ref="D32:G32" si="17">D17</f>
        <v>-1035222.2222222225</v>
      </c>
      <c r="E32" s="8">
        <f t="shared" si="17"/>
        <v>-1138744.444444445</v>
      </c>
      <c r="F32" s="8">
        <f t="shared" si="17"/>
        <v>-1252618.8888888895</v>
      </c>
      <c r="G32" s="8">
        <f t="shared" si="17"/>
        <v>-1377880.7777777785</v>
      </c>
      <c r="H32" s="8">
        <f t="shared" ref="H32" si="18">H17</f>
        <v>-1515668.8555555565</v>
      </c>
    </row>
    <row r="33" spans="1:13" x14ac:dyDescent="0.25">
      <c r="A33" s="4" t="s">
        <v>22</v>
      </c>
      <c r="B33" s="5">
        <v>7700000</v>
      </c>
      <c r="C33" s="8">
        <f>0.77*C15</f>
        <v>8470000</v>
      </c>
      <c r="D33" s="8">
        <f t="shared" ref="D33:G33" si="19">0.77*D15</f>
        <v>9317000.0000000019</v>
      </c>
      <c r="E33" s="8">
        <f t="shared" si="19"/>
        <v>10248700.000000004</v>
      </c>
      <c r="F33" s="8">
        <f t="shared" si="19"/>
        <v>11273570.000000004</v>
      </c>
      <c r="G33" s="8">
        <f t="shared" si="19"/>
        <v>12400927.000000006</v>
      </c>
      <c r="H33" s="8">
        <f t="shared" ref="H33" si="20">0.77*H15</f>
        <v>13641019.700000009</v>
      </c>
    </row>
    <row r="34" spans="1:13" x14ac:dyDescent="0.25">
      <c r="A34" s="4" t="s">
        <v>23</v>
      </c>
      <c r="B34" s="5">
        <v>10000000</v>
      </c>
      <c r="C34" s="8">
        <f>C28+C29+C33</f>
        <v>11629040</v>
      </c>
      <c r="D34" s="8">
        <f t="shared" ref="D34:H34" si="21">D28+D29+D33</f>
        <v>13450620.350000001</v>
      </c>
      <c r="E34" s="8">
        <f t="shared" si="21"/>
        <v>15484848.620000005</v>
      </c>
      <c r="F34" s="8">
        <f t="shared" si="21"/>
        <v>17753867.700000003</v>
      </c>
      <c r="G34" s="8">
        <f t="shared" si="21"/>
        <v>20282060.070000008</v>
      </c>
      <c r="H34" s="8">
        <f t="shared" si="21"/>
        <v>23096272.480000012</v>
      </c>
    </row>
    <row r="35" spans="1:13" x14ac:dyDescent="0.25">
      <c r="A35" s="4"/>
      <c r="B35" s="5"/>
    </row>
    <row r="36" spans="1:13" x14ac:dyDescent="0.25">
      <c r="A36" s="4" t="s">
        <v>24</v>
      </c>
      <c r="B36" s="5">
        <v>800000</v>
      </c>
      <c r="C36" s="8">
        <f>0.08*C15</f>
        <v>880000</v>
      </c>
      <c r="D36" s="8">
        <f t="shared" ref="D36:G36" si="22">0.08*D15</f>
        <v>968000.00000000012</v>
      </c>
      <c r="E36" s="8">
        <f t="shared" si="22"/>
        <v>1064800.0000000002</v>
      </c>
      <c r="F36" s="8">
        <f t="shared" si="22"/>
        <v>1171280.0000000005</v>
      </c>
      <c r="G36" s="8">
        <f t="shared" si="22"/>
        <v>1288408.0000000007</v>
      </c>
      <c r="H36" s="8">
        <f t="shared" ref="H36" si="23">0.08*H15</f>
        <v>1417248.800000001</v>
      </c>
    </row>
    <row r="37" spans="1:13" x14ac:dyDescent="0.25">
      <c r="A37" s="4" t="s">
        <v>25</v>
      </c>
      <c r="B37" s="5">
        <v>3200000</v>
      </c>
      <c r="C37" s="8">
        <f>B37</f>
        <v>3200000</v>
      </c>
      <c r="D37" s="8">
        <f t="shared" ref="D37:G37" si="24">C37</f>
        <v>3200000</v>
      </c>
      <c r="E37" s="8">
        <f t="shared" si="24"/>
        <v>3200000</v>
      </c>
      <c r="F37" s="8">
        <f t="shared" si="24"/>
        <v>3200000</v>
      </c>
      <c r="G37" s="8">
        <f t="shared" si="24"/>
        <v>3200000</v>
      </c>
      <c r="H37" s="8">
        <f t="shared" ref="H37" si="25">G37</f>
        <v>3200000</v>
      </c>
    </row>
    <row r="38" spans="1:13" x14ac:dyDescent="0.25">
      <c r="A38" s="4" t="s">
        <v>26</v>
      </c>
      <c r="B38" s="5"/>
    </row>
    <row r="39" spans="1:13" x14ac:dyDescent="0.25">
      <c r="A39" s="4" t="s">
        <v>27</v>
      </c>
      <c r="B39" s="5">
        <v>4500000</v>
      </c>
      <c r="C39" s="7">
        <f>B39</f>
        <v>4500000</v>
      </c>
      <c r="D39" s="7">
        <f t="shared" ref="D39:G39" si="26">C39</f>
        <v>4500000</v>
      </c>
      <c r="E39" s="7">
        <f t="shared" si="26"/>
        <v>4500000</v>
      </c>
      <c r="F39" s="7">
        <f t="shared" si="26"/>
        <v>4500000</v>
      </c>
      <c r="G39" s="7">
        <f t="shared" si="26"/>
        <v>4500000</v>
      </c>
      <c r="H39" s="7">
        <f t="shared" ref="H39" si="27">G39</f>
        <v>4500000</v>
      </c>
    </row>
    <row r="40" spans="1:13" x14ac:dyDescent="0.25">
      <c r="A40" s="4" t="s">
        <v>28</v>
      </c>
      <c r="B40" s="5">
        <v>1500000</v>
      </c>
      <c r="C40" s="8">
        <f>B40+C24</f>
        <v>3049040</v>
      </c>
      <c r="D40" s="8">
        <f t="shared" ref="D40:G40" si="28">C40+D24</f>
        <v>4782620.352</v>
      </c>
      <c r="E40" s="8">
        <f t="shared" si="28"/>
        <v>6720048.6180799995</v>
      </c>
      <c r="F40" s="8">
        <f t="shared" si="28"/>
        <v>8882587.6983360015</v>
      </c>
      <c r="G40" s="8">
        <f t="shared" si="28"/>
        <v>11293652.072096001</v>
      </c>
      <c r="H40" s="8">
        <f t="shared" ref="H40" si="29">G40+H24</f>
        <v>13979023.684512004</v>
      </c>
    </row>
    <row r="41" spans="1:13" x14ac:dyDescent="0.25">
      <c r="A41" s="4" t="s">
        <v>29</v>
      </c>
      <c r="B41" s="5">
        <v>10000000</v>
      </c>
      <c r="C41" s="8">
        <f>SUM(C36:C40)</f>
        <v>11629040</v>
      </c>
      <c r="D41" s="8">
        <f t="shared" ref="D41:H41" si="30">SUM(D36:D40)</f>
        <v>13450620.352</v>
      </c>
      <c r="E41" s="8">
        <f t="shared" si="30"/>
        <v>15484848.618079999</v>
      </c>
      <c r="F41" s="8">
        <f t="shared" si="30"/>
        <v>17753867.698336001</v>
      </c>
      <c r="G41" s="8">
        <f t="shared" si="30"/>
        <v>20282060.072096001</v>
      </c>
      <c r="H41" s="8">
        <f t="shared" si="30"/>
        <v>23096272.484512005</v>
      </c>
    </row>
    <row r="44" spans="1:13" x14ac:dyDescent="0.25">
      <c r="L44" t="s">
        <v>41</v>
      </c>
    </row>
    <row r="45" spans="1:13" x14ac:dyDescent="0.25">
      <c r="A45" t="s">
        <v>30</v>
      </c>
      <c r="L45">
        <v>2017</v>
      </c>
      <c r="M45" s="7">
        <v>10000000</v>
      </c>
    </row>
    <row r="46" spans="1:13" x14ac:dyDescent="0.25">
      <c r="L46">
        <v>2018</v>
      </c>
      <c r="M46">
        <f>1.1*M45</f>
        <v>11000000</v>
      </c>
    </row>
    <row r="47" spans="1:13" x14ac:dyDescent="0.25">
      <c r="A47" t="s">
        <v>31</v>
      </c>
      <c r="L47">
        <v>2019</v>
      </c>
      <c r="M47">
        <f t="shared" ref="M47:M50" si="31">1.1*M46</f>
        <v>12100000.000000002</v>
      </c>
    </row>
    <row r="48" spans="1:13" x14ac:dyDescent="0.25">
      <c r="A48" t="s">
        <v>32</v>
      </c>
      <c r="B48" s="11">
        <f>B22</f>
        <v>2246400</v>
      </c>
      <c r="C48" s="11">
        <f t="shared" ref="C48:G48" si="32">C22</f>
        <v>2581733.333333333</v>
      </c>
      <c r="D48" s="11">
        <f t="shared" si="32"/>
        <v>2889300.5866666669</v>
      </c>
      <c r="E48" s="11">
        <f t="shared" si="32"/>
        <v>3229047.1101333336</v>
      </c>
      <c r="F48" s="11">
        <f t="shared" si="32"/>
        <v>3604231.8004266685</v>
      </c>
      <c r="G48" s="11">
        <f t="shared" si="32"/>
        <v>4018440.6229333351</v>
      </c>
      <c r="H48" s="11"/>
      <c r="L48">
        <v>2020</v>
      </c>
      <c r="M48">
        <f t="shared" si="31"/>
        <v>13310000.000000004</v>
      </c>
    </row>
    <row r="49" spans="1:13" x14ac:dyDescent="0.25">
      <c r="A49" t="s">
        <v>8</v>
      </c>
      <c r="B49" s="8">
        <f>B17</f>
        <v>-1000000</v>
      </c>
      <c r="C49" s="8">
        <f t="shared" ref="C49:G49" si="33">C17</f>
        <v>-941111.11111111112</v>
      </c>
      <c r="D49" s="8">
        <f t="shared" si="33"/>
        <v>-1035222.2222222225</v>
      </c>
      <c r="E49" s="8">
        <f t="shared" si="33"/>
        <v>-1138744.444444445</v>
      </c>
      <c r="F49" s="8">
        <f t="shared" si="33"/>
        <v>-1252618.8888888895</v>
      </c>
      <c r="G49" s="8">
        <f t="shared" si="33"/>
        <v>-1377880.7777777785</v>
      </c>
      <c r="H49" s="8"/>
      <c r="L49">
        <v>2021</v>
      </c>
      <c r="M49">
        <f t="shared" si="31"/>
        <v>14641000.000000006</v>
      </c>
    </row>
    <row r="50" spans="1:13" x14ac:dyDescent="0.25">
      <c r="A50" t="s">
        <v>33</v>
      </c>
      <c r="B50" s="8">
        <f>B48-B49</f>
        <v>3246400</v>
      </c>
      <c r="C50" s="8">
        <f t="shared" ref="C50:H50" si="34">C48-C49</f>
        <v>3522844.444444444</v>
      </c>
      <c r="D50" s="8">
        <f t="shared" si="34"/>
        <v>3924522.8088888894</v>
      </c>
      <c r="E50" s="8">
        <f t="shared" si="34"/>
        <v>4367791.554577779</v>
      </c>
      <c r="F50" s="8">
        <f t="shared" si="34"/>
        <v>4856850.6893155575</v>
      </c>
      <c r="G50" s="8">
        <f t="shared" si="34"/>
        <v>5396321.4007111136</v>
      </c>
      <c r="H50" s="8"/>
      <c r="L50">
        <v>2022</v>
      </c>
      <c r="M50">
        <f t="shared" si="31"/>
        <v>16105100.000000007</v>
      </c>
    </row>
    <row r="51" spans="1:13" x14ac:dyDescent="0.25">
      <c r="A51" t="s">
        <v>34</v>
      </c>
      <c r="B51" s="8">
        <f>(C33-B33)-C32</f>
        <v>1711111.111111111</v>
      </c>
      <c r="C51" s="8">
        <f t="shared" ref="C51:G51" si="35">(D33-C33)-D32</f>
        <v>1882222.2222222243</v>
      </c>
      <c r="D51" s="8">
        <f t="shared" si="35"/>
        <v>2070444.4444444468</v>
      </c>
      <c r="E51" s="8">
        <f t="shared" si="35"/>
        <v>2277488.8888888895</v>
      </c>
      <c r="F51" s="8">
        <f t="shared" si="35"/>
        <v>2505237.7777777803</v>
      </c>
      <c r="G51" s="8">
        <f t="shared" si="35"/>
        <v>2755761.5555555597</v>
      </c>
      <c r="H51" s="8"/>
    </row>
    <row r="52" spans="1:13" x14ac:dyDescent="0.25">
      <c r="A52" t="s">
        <v>35</v>
      </c>
      <c r="B52" s="8">
        <f>B50-B51</f>
        <v>1535288.888888889</v>
      </c>
      <c r="C52" s="8">
        <f t="shared" ref="C52:G52" si="36">C50-C51</f>
        <v>1640622.2222222197</v>
      </c>
      <c r="D52" s="8">
        <f t="shared" si="36"/>
        <v>1854078.3644444426</v>
      </c>
      <c r="E52" s="8">
        <f t="shared" si="36"/>
        <v>2090302.6656888896</v>
      </c>
      <c r="F52" s="8">
        <f t="shared" si="36"/>
        <v>2351612.9115377772</v>
      </c>
      <c r="G52" s="8">
        <f t="shared" si="36"/>
        <v>2640559.8451555539</v>
      </c>
    </row>
    <row r="54" spans="1:13" x14ac:dyDescent="0.25">
      <c r="A54" t="s">
        <v>0</v>
      </c>
      <c r="B54" t="s">
        <v>35</v>
      </c>
    </row>
    <row r="55" spans="1:13" x14ac:dyDescent="0.25">
      <c r="A55">
        <v>0</v>
      </c>
      <c r="B55" s="8">
        <f>B52</f>
        <v>1535288.888888889</v>
      </c>
    </row>
    <row r="56" spans="1:13" x14ac:dyDescent="0.25">
      <c r="A56">
        <v>1</v>
      </c>
      <c r="B56" s="8">
        <f>C52</f>
        <v>1640622.2222222197</v>
      </c>
    </row>
    <row r="57" spans="1:13" x14ac:dyDescent="0.25">
      <c r="A57">
        <v>2</v>
      </c>
      <c r="B57" s="8">
        <f>D52</f>
        <v>1854078.3644444426</v>
      </c>
    </row>
    <row r="58" spans="1:13" x14ac:dyDescent="0.25">
      <c r="A58">
        <v>3</v>
      </c>
      <c r="B58" s="8">
        <f>E52</f>
        <v>2090302.6656888896</v>
      </c>
    </row>
    <row r="59" spans="1:13" x14ac:dyDescent="0.25">
      <c r="A59">
        <v>4</v>
      </c>
      <c r="B59" s="8">
        <f>F52</f>
        <v>2351612.9115377772</v>
      </c>
    </row>
    <row r="60" spans="1:13" x14ac:dyDescent="0.25">
      <c r="A60">
        <v>5</v>
      </c>
      <c r="B60" s="8">
        <f>G52</f>
        <v>2640559.8451555539</v>
      </c>
    </row>
    <row r="61" spans="1:13" x14ac:dyDescent="0.25">
      <c r="A61" t="s">
        <v>42</v>
      </c>
      <c r="B61" s="12">
        <f>(B60*(1+B63))/(D91-E91)</f>
        <v>34987417.948311083</v>
      </c>
    </row>
    <row r="62" spans="1:13" x14ac:dyDescent="0.25">
      <c r="A62" t="s">
        <v>36</v>
      </c>
      <c r="B62" s="9">
        <v>0.14000000000000001</v>
      </c>
    </row>
    <row r="63" spans="1:13" x14ac:dyDescent="0.25">
      <c r="A63" t="s">
        <v>35</v>
      </c>
      <c r="B63" s="9">
        <v>0.06</v>
      </c>
    </row>
    <row r="64" spans="1:13" x14ac:dyDescent="0.25">
      <c r="A64" t="s">
        <v>37</v>
      </c>
      <c r="B64" s="8">
        <f>(B56/(1+B62)^1)+(B57/(1+B62)^2)+(B58/(1+B62)^3)+(B59/(1+B62)^4)+(B60+B61)/(1+B62)^5</f>
        <v>25211826.350539554</v>
      </c>
    </row>
    <row r="66" spans="1:6" x14ac:dyDescent="0.25">
      <c r="A66" t="s">
        <v>38</v>
      </c>
      <c r="B66" s="10">
        <f>(((B56)/(1+B62)^0.5) + ((B57)/(1+B62)^1.5)+((B58)/(1+B62)^2.5)+((B59)/(1+B62)^3.5)+((B60+B61)/(1+B62)^4.5))/1000000</f>
        <v>26.918864282133583</v>
      </c>
    </row>
    <row r="68" spans="1:6" x14ac:dyDescent="0.25">
      <c r="A68" t="s">
        <v>39</v>
      </c>
    </row>
    <row r="70" spans="1:6" x14ac:dyDescent="0.25">
      <c r="A70" t="s">
        <v>40</v>
      </c>
    </row>
    <row r="71" spans="1:6" x14ac:dyDescent="0.25">
      <c r="B71" s="10">
        <f>B66</f>
        <v>26.918864282133583</v>
      </c>
    </row>
    <row r="72" spans="1:6" x14ac:dyDescent="0.25">
      <c r="A72" s="8">
        <f>C15</f>
        <v>11000000</v>
      </c>
      <c r="B72">
        <f t="dataTable" ref="B72:B76" dt2D="0" dtr="0" r1="M46" ca="1"/>
        <v>26.918864282133583</v>
      </c>
    </row>
    <row r="73" spans="1:6" x14ac:dyDescent="0.25">
      <c r="A73" s="8">
        <f>D15</f>
        <v>12100000.000000002</v>
      </c>
      <c r="B73">
        <v>26.918864282133583</v>
      </c>
    </row>
    <row r="74" spans="1:6" x14ac:dyDescent="0.25">
      <c r="A74" s="8">
        <f>E15</f>
        <v>13310000.000000004</v>
      </c>
      <c r="B74">
        <v>26.918864282133583</v>
      </c>
    </row>
    <row r="75" spans="1:6" x14ac:dyDescent="0.25">
      <c r="A75" s="8">
        <f>F15</f>
        <v>14641000.000000006</v>
      </c>
      <c r="B75">
        <v>26.918864282133583</v>
      </c>
    </row>
    <row r="76" spans="1:6" x14ac:dyDescent="0.25">
      <c r="A76" s="8">
        <f>G15</f>
        <v>16105100.000000007</v>
      </c>
      <c r="B76">
        <v>26.918864282133583</v>
      </c>
    </row>
    <row r="80" spans="1:6" x14ac:dyDescent="0.25">
      <c r="A80" s="10">
        <f>B66</f>
        <v>26.918864282133583</v>
      </c>
      <c r="B80" s="9">
        <f>B62</f>
        <v>0.14000000000000001</v>
      </c>
      <c r="C80" s="9">
        <v>0.16</v>
      </c>
      <c r="D80" s="9">
        <v>0.18</v>
      </c>
      <c r="E80" s="9">
        <v>0.2</v>
      </c>
      <c r="F80" s="9">
        <v>0.22</v>
      </c>
    </row>
    <row r="81" spans="1:6" x14ac:dyDescent="0.25">
      <c r="A81" s="8">
        <f>B56</f>
        <v>1640622.2222222197</v>
      </c>
      <c r="B81" s="10">
        <f t="dataTable" ref="B81:F85" dt2D="1" dtr="1" r1="B62" r2="B56" ca="1"/>
        <v>26.918864282133583</v>
      </c>
      <c r="C81" s="10">
        <v>25.143684573186821</v>
      </c>
      <c r="D81" s="10">
        <v>23.522941001174019</v>
      </c>
      <c r="E81" s="10">
        <v>22.040704547129074</v>
      </c>
      <c r="F81" s="10">
        <v>20.682926169751966</v>
      </c>
    </row>
    <row r="82" spans="1:6" x14ac:dyDescent="0.25">
      <c r="A82" s="8">
        <f>B57</f>
        <v>1854078.3644444426</v>
      </c>
      <c r="B82" s="10">
        <v>20.876180280586432</v>
      </c>
      <c r="C82" s="10">
        <v>25.341873625766443</v>
      </c>
      <c r="D82" s="10">
        <v>23.719443307738292</v>
      </c>
      <c r="E82" s="10">
        <v>22.235562454017646</v>
      </c>
      <c r="F82" s="10">
        <v>20.876180280586432</v>
      </c>
    </row>
    <row r="83" spans="1:6" x14ac:dyDescent="0.25">
      <c r="A83" s="8">
        <f>B58</f>
        <v>2090302.6656888896</v>
      </c>
      <c r="B83" s="10">
        <v>21.090047714051821</v>
      </c>
      <c r="C83" s="10">
        <v>25.561202383292571</v>
      </c>
      <c r="D83" s="10">
        <v>23.9369054035947</v>
      </c>
      <c r="E83" s="10">
        <v>22.451204751388445</v>
      </c>
      <c r="F83" s="10">
        <v>21.090047714051821</v>
      </c>
    </row>
    <row r="84" spans="1:6" x14ac:dyDescent="0.25">
      <c r="A84" s="8">
        <f>B59</f>
        <v>2351612.9115377772</v>
      </c>
      <c r="B84" s="10">
        <v>21.326626894616648</v>
      </c>
      <c r="C84" s="10">
        <v>25.803822855652758</v>
      </c>
      <c r="D84" s="10">
        <v>24.177460983319953</v>
      </c>
      <c r="E84" s="10">
        <v>22.689747278319537</v>
      </c>
      <c r="F84" s="10">
        <v>21.326626894616648</v>
      </c>
    </row>
    <row r="85" spans="1:6" x14ac:dyDescent="0.25">
      <c r="A85" s="8">
        <f>B60</f>
        <v>2640559.8451555539</v>
      </c>
      <c r="B85" s="10">
        <v>21.588227156634488</v>
      </c>
      <c r="C85" s="10">
        <v>26.072103348419635</v>
      </c>
      <c r="D85" s="10">
        <v>24.443458196328027</v>
      </c>
      <c r="E85" s="10">
        <v>22.953518534093543</v>
      </c>
      <c r="F85" s="10">
        <v>21.588227156634488</v>
      </c>
    </row>
    <row r="88" spans="1:6" x14ac:dyDescent="0.25">
      <c r="A88" t="s">
        <v>43</v>
      </c>
    </row>
    <row r="89" spans="1:6" x14ac:dyDescent="0.25">
      <c r="B89" t="s">
        <v>45</v>
      </c>
      <c r="C89" t="s">
        <v>48</v>
      </c>
      <c r="D89" t="s">
        <v>36</v>
      </c>
      <c r="E89" t="s">
        <v>35</v>
      </c>
    </row>
    <row r="90" spans="1:6" x14ac:dyDescent="0.25">
      <c r="A90" t="s">
        <v>44</v>
      </c>
      <c r="B90" s="8">
        <v>11800000</v>
      </c>
      <c r="C90" s="8">
        <v>4720000</v>
      </c>
      <c r="D90" s="13">
        <v>0.12</v>
      </c>
      <c r="E90" s="13">
        <v>0.08</v>
      </c>
    </row>
    <row r="91" spans="1:6" x14ac:dyDescent="0.25">
      <c r="A91" t="s">
        <v>46</v>
      </c>
      <c r="B91" s="8">
        <v>10000000</v>
      </c>
      <c r="C91" s="8">
        <v>5000000</v>
      </c>
      <c r="D91" s="13">
        <v>0.14000000000000001</v>
      </c>
      <c r="E91" s="13">
        <v>0.06</v>
      </c>
    </row>
    <row r="92" spans="1:6" x14ac:dyDescent="0.25">
      <c r="A92" t="s">
        <v>47</v>
      </c>
      <c r="B92" s="8">
        <v>10500000</v>
      </c>
      <c r="C92" s="8">
        <v>5775000</v>
      </c>
      <c r="D92" s="13">
        <v>0.16</v>
      </c>
      <c r="E92" s="13">
        <v>0.03</v>
      </c>
    </row>
    <row r="93" spans="1:6" x14ac:dyDescent="0.25">
      <c r="D93" s="13"/>
      <c r="E93" s="13"/>
    </row>
  </sheetData>
  <scenarios current="2" show="1" sqref="B66">
    <scenario name="Base Case" locked="1" count="4" user="Author" comment="Created by Author on 10/11/2019">
      <inputCells r="B91" val="10000000"/>
      <inputCells r="C91" val="5000000"/>
      <inputCells r="D91" val="0.14" numFmtId="9"/>
      <inputCells r="E91" val="0.06" numFmtId="9"/>
    </scenario>
    <scenario name="Best Case" locked="1" count="4" user="Author" comment="Created by Author on 10/11/2019_x000a_">
      <inputCells r="B91" val="11800000" numFmtId="44"/>
      <inputCells r="C91" val="4720000" numFmtId="44"/>
      <inputCells r="D91" val="0.12" numFmtId="9"/>
      <inputCells r="E91" val="0.08" numFmtId="9"/>
    </scenario>
    <scenario name="Worst Case" locked="1" count="4" user="Author" comment="Created by Author on 10/11/2019_x000a_">
      <inputCells r="B91" val="10500000" numFmtId="44"/>
      <inputCells r="C91" val="5775000" numFmtId="44"/>
      <inputCells r="D91" val="0.16" numFmtId="9"/>
      <inputCells r="E91" val="0.03" numFmtId="9"/>
    </scenario>
  </scenario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Outline</vt:lpstr>
      <vt:lpstr>1</vt:lpstr>
      <vt:lpstr>2</vt:lpstr>
      <vt:lpstr>3</vt:lpstr>
      <vt:lpstr>4</vt:lpstr>
      <vt:lpstr>5</vt:lpstr>
      <vt:lpstr>6</vt:lpstr>
      <vt:lpstr>7</vt:lpstr>
      <vt:lpstr>Scenario Summary 2</vt:lpstr>
      <vt:lpstr>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2019-10-11T16:18:58Z</dcterms:modified>
</cp:coreProperties>
</file>