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2.xml" ContentType="application/vnd.openxmlformats-officedocument.spreadsheetml.pivotTab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3.xml" ContentType="application/vnd.openxmlformats-officedocument.spreadsheetml.pivotTab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33600" windowHeight="21000" firstSheet="7" activeTab="9"/>
  </bookViews>
  <sheets>
    <sheet name="Sheet2" sheetId="12" r:id="rId1"/>
    <sheet name="Data" sheetId="1" r:id="rId2"/>
    <sheet name="Successful Genres (# of films)" sheetId="2" r:id="rId3"/>
    <sheet name="Successful Genres (revenue)" sheetId="3" r:id="rId4"/>
    <sheet name="Time Series Chart" sheetId="4" r:id="rId5"/>
    <sheet name="Most Successful Studios" sheetId="5" r:id="rId6"/>
    <sheet name="Genre Distribution" sheetId="6" r:id="rId7"/>
    <sheet name="Rating Breakdown" sheetId="7" r:id="rId8"/>
    <sheet name="# of Blockbusters" sheetId="8" r:id="rId9"/>
    <sheet name="300M - 100M" sheetId="9" r:id="rId10"/>
    <sheet name="Interpretation of Data" sheetId="10" r:id="rId11"/>
  </sheets>
  <definedNames>
    <definedName name="_xlnm._FilterDatabase" localSheetId="2" hidden="1">'Successful Genres (# of films)'!$A$1:$B$51</definedName>
  </definedNames>
  <calcPr calcId="152511" concurrentCalc="0"/>
  <pivotCaches>
    <pivotCache cacheId="0" r:id="rId12"/>
    <pivotCache cacheId="1" r:id="rId13"/>
    <pivotCache cacheId="2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3" i="9" l="1"/>
  <c r="A22" i="9"/>
  <c r="A21" i="9"/>
  <c r="A20" i="9"/>
  <c r="A19" i="9"/>
  <c r="A18" i="9"/>
  <c r="A17" i="9"/>
  <c r="A16" i="9"/>
  <c r="F52" i="1"/>
  <c r="B6" i="6"/>
  <c r="B5" i="6"/>
  <c r="B4" i="6"/>
  <c r="B3" i="6"/>
  <c r="B2" i="6"/>
  <c r="B2" i="7"/>
  <c r="B3" i="7"/>
  <c r="B4" i="7"/>
  <c r="B5" i="7"/>
  <c r="B11" i="5"/>
  <c r="C11" i="5"/>
  <c r="B10" i="5"/>
  <c r="C10" i="5"/>
  <c r="B9" i="5"/>
  <c r="C9" i="5"/>
  <c r="B8" i="5"/>
  <c r="C8" i="5"/>
  <c r="B7" i="5"/>
  <c r="C7" i="5"/>
  <c r="B6" i="5"/>
  <c r="C6" i="5"/>
  <c r="B5" i="5"/>
  <c r="C5" i="5"/>
  <c r="B4" i="5"/>
  <c r="C4" i="5"/>
  <c r="B3" i="5"/>
  <c r="C3" i="5"/>
  <c r="B2" i="5"/>
  <c r="C2" i="5"/>
  <c r="C6" i="4"/>
  <c r="C5" i="4"/>
  <c r="C4" i="4"/>
  <c r="C3" i="4"/>
  <c r="C2" i="4"/>
  <c r="C11" i="4"/>
  <c r="C10" i="4"/>
  <c r="C9" i="4"/>
  <c r="C8" i="4"/>
  <c r="C7" i="4"/>
  <c r="B11" i="4"/>
  <c r="B10" i="4"/>
  <c r="B9" i="4"/>
  <c r="B3" i="4"/>
  <c r="B4" i="4"/>
  <c r="B5" i="4"/>
  <c r="B6" i="4"/>
  <c r="B7" i="4"/>
  <c r="B8" i="4"/>
  <c r="B2" i="4"/>
  <c r="B6" i="3"/>
  <c r="B5" i="3"/>
  <c r="B4" i="3"/>
  <c r="B3" i="3"/>
  <c r="B2" i="3"/>
  <c r="T52" i="1"/>
  <c r="T23" i="1"/>
  <c r="S23" i="1"/>
  <c r="S52" i="1"/>
  <c r="S50" i="1"/>
  <c r="S49" i="1"/>
  <c r="S44" i="1"/>
  <c r="S42" i="1"/>
  <c r="S40" i="1"/>
  <c r="S37" i="1"/>
  <c r="S31" i="1"/>
  <c r="S25" i="1"/>
  <c r="S11" i="1"/>
  <c r="R52" i="1"/>
  <c r="R51" i="1"/>
  <c r="R48" i="1"/>
  <c r="R46" i="1"/>
  <c r="R43" i="1"/>
  <c r="R29" i="1"/>
  <c r="R13" i="1"/>
  <c r="R12" i="1"/>
  <c r="R3" i="1"/>
  <c r="Q52" i="1"/>
  <c r="Q26" i="1"/>
  <c r="Q27" i="1"/>
  <c r="Q30" i="1"/>
  <c r="Q32" i="1"/>
  <c r="Q33" i="1"/>
  <c r="Q34" i="1"/>
  <c r="Q35" i="1"/>
  <c r="Q36" i="1"/>
  <c r="Q38" i="1"/>
  <c r="Q39" i="1"/>
  <c r="Q41" i="1"/>
  <c r="Q42" i="1"/>
  <c r="Q45" i="1"/>
  <c r="Q47" i="1"/>
  <c r="Q50" i="1"/>
  <c r="Q20" i="1"/>
  <c r="Q21" i="1"/>
  <c r="Q19" i="1"/>
  <c r="Q15" i="1"/>
  <c r="Q14" i="1"/>
  <c r="Q9" i="1"/>
  <c r="Q10" i="1"/>
  <c r="Q11" i="1"/>
  <c r="Q8" i="1"/>
  <c r="Q3" i="1"/>
  <c r="Q4" i="1"/>
  <c r="Q5" i="1"/>
  <c r="Q6" i="1"/>
  <c r="Q2" i="1"/>
  <c r="P17" i="1"/>
  <c r="P18" i="1"/>
  <c r="P52" i="1"/>
  <c r="S17" i="1"/>
  <c r="T16" i="1"/>
  <c r="R7" i="1"/>
  <c r="P3" i="1"/>
  <c r="P4" i="1"/>
  <c r="P5" i="1"/>
  <c r="P6" i="1"/>
  <c r="P8" i="1"/>
  <c r="P9" i="1"/>
  <c r="P10" i="1"/>
  <c r="P11" i="1"/>
  <c r="P12" i="1"/>
  <c r="P13" i="1"/>
  <c r="P14" i="1"/>
  <c r="P15" i="1"/>
  <c r="S18" i="1"/>
  <c r="P19" i="1"/>
  <c r="P20" i="1"/>
  <c r="P21" i="1"/>
  <c r="P22" i="1"/>
  <c r="P23" i="1"/>
  <c r="Q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9" i="1"/>
  <c r="P50" i="1"/>
  <c r="P51" i="1"/>
  <c r="P2" i="1"/>
  <c r="O6" i="1"/>
  <c r="O5" i="1"/>
  <c r="O4" i="1"/>
  <c r="O3" i="1"/>
  <c r="O2" i="1"/>
  <c r="N52" i="1"/>
  <c r="M52" i="1"/>
  <c r="K52" i="1"/>
  <c r="L52" i="1"/>
  <c r="J52" i="1"/>
  <c r="H51" i="1"/>
  <c r="I51" i="1"/>
  <c r="H45" i="1"/>
  <c r="I45" i="1"/>
  <c r="H44" i="1"/>
  <c r="I44" i="1"/>
  <c r="H50" i="1"/>
  <c r="I50" i="1"/>
  <c r="H49" i="1"/>
  <c r="I49" i="1"/>
  <c r="H48" i="1"/>
  <c r="I48" i="1"/>
  <c r="H47" i="1"/>
  <c r="I47" i="1"/>
  <c r="H46" i="1"/>
  <c r="I46" i="1"/>
  <c r="H43" i="1"/>
  <c r="I43" i="1"/>
  <c r="H42" i="1"/>
  <c r="I42" i="1"/>
  <c r="H41" i="1"/>
  <c r="I41" i="1"/>
  <c r="H40" i="1"/>
  <c r="I40" i="1"/>
  <c r="H39" i="1"/>
  <c r="I39" i="1"/>
  <c r="H38" i="1"/>
  <c r="I38" i="1"/>
  <c r="H37" i="1"/>
  <c r="I37" i="1"/>
  <c r="H36" i="1"/>
  <c r="I36" i="1"/>
  <c r="H35" i="1"/>
  <c r="I35" i="1"/>
  <c r="H34" i="1"/>
  <c r="I34" i="1"/>
  <c r="H33" i="1"/>
  <c r="I33" i="1"/>
  <c r="H32" i="1"/>
  <c r="I32" i="1"/>
  <c r="H31" i="1"/>
  <c r="I31" i="1"/>
  <c r="H30" i="1"/>
  <c r="I30" i="1"/>
  <c r="H29" i="1"/>
  <c r="I29" i="1"/>
  <c r="H28" i="1"/>
  <c r="I28" i="1"/>
  <c r="I27" i="1"/>
  <c r="H27" i="1"/>
  <c r="H26" i="1"/>
  <c r="I26" i="1"/>
  <c r="H25" i="1"/>
  <c r="I25" i="1"/>
  <c r="H24" i="1"/>
  <c r="I24" i="1"/>
  <c r="H23" i="1"/>
  <c r="I23" i="1"/>
  <c r="H15" i="1"/>
  <c r="I15" i="1"/>
  <c r="H22" i="1"/>
  <c r="I22" i="1"/>
  <c r="H21" i="1"/>
  <c r="I21" i="1"/>
  <c r="H20" i="1"/>
  <c r="I20" i="1"/>
  <c r="H19" i="1"/>
  <c r="I19" i="1"/>
  <c r="H18" i="1"/>
  <c r="I18" i="1"/>
  <c r="H17" i="1"/>
  <c r="I17" i="1"/>
  <c r="H16" i="1"/>
  <c r="I16" i="1"/>
  <c r="H14" i="1"/>
  <c r="I14" i="1"/>
  <c r="H13" i="1"/>
  <c r="I13" i="1"/>
  <c r="H12" i="1"/>
  <c r="I12" i="1"/>
  <c r="H11" i="1"/>
  <c r="I11" i="1"/>
  <c r="H10" i="1"/>
  <c r="I10" i="1"/>
  <c r="H9" i="1"/>
  <c r="I9" i="1"/>
  <c r="H8" i="1"/>
  <c r="I8" i="1"/>
  <c r="H7" i="1"/>
  <c r="I7" i="1"/>
  <c r="H6" i="1"/>
  <c r="I6" i="1"/>
  <c r="I5" i="1"/>
  <c r="H5" i="1"/>
  <c r="H4" i="1"/>
  <c r="I4" i="1"/>
  <c r="I3" i="1"/>
  <c r="H3" i="1"/>
  <c r="I2" i="1"/>
  <c r="H2" i="1"/>
</calcChain>
</file>

<file path=xl/sharedStrings.xml><?xml version="1.0" encoding="utf-8"?>
<sst xmlns="http://schemas.openxmlformats.org/spreadsheetml/2006/main" count="493" uniqueCount="139">
  <si>
    <t>Title</t>
  </si>
  <si>
    <t>Year</t>
  </si>
  <si>
    <t>Studio</t>
  </si>
  <si>
    <t>Genre</t>
  </si>
  <si>
    <t>Rating</t>
  </si>
  <si>
    <t>Budget</t>
  </si>
  <si>
    <t>Box-Office USA</t>
  </si>
  <si>
    <t>Simple Profitability Ratio R1</t>
  </si>
  <si>
    <t>Simple Profitability Ratio R2</t>
  </si>
  <si>
    <t>Star Wars: Episode VII - The Force Awakens</t>
  </si>
  <si>
    <t>Walt Disney Studios Motion Pictures</t>
  </si>
  <si>
    <t>AA, SF</t>
  </si>
  <si>
    <t>PG - 13</t>
  </si>
  <si>
    <t>Avengers: Endgame</t>
  </si>
  <si>
    <t>AA, D, SF</t>
  </si>
  <si>
    <t>Avatar</t>
  </si>
  <si>
    <t>Twentieth Century Fox</t>
  </si>
  <si>
    <t>Black Panther</t>
  </si>
  <si>
    <t>Avengers: Infinity War</t>
  </si>
  <si>
    <t xml:space="preserve">Titanic </t>
  </si>
  <si>
    <t>Paramount Pictures</t>
  </si>
  <si>
    <t>D</t>
  </si>
  <si>
    <t>Jurassic World</t>
  </si>
  <si>
    <t>Universal Pictures</t>
  </si>
  <si>
    <t>The Avengers</t>
  </si>
  <si>
    <t>Star Wars: Episode VIII - The Last Jedi</t>
  </si>
  <si>
    <t>Icredibles 2</t>
  </si>
  <si>
    <t>AA, C, SF</t>
  </si>
  <si>
    <t>The Lion King</t>
  </si>
  <si>
    <t>AA, D</t>
  </si>
  <si>
    <t>The Dark Knight</t>
  </si>
  <si>
    <t>Warner Bros.</t>
  </si>
  <si>
    <t>Rogue One: A Star Wars Story</t>
  </si>
  <si>
    <t>Beauty and the Beast</t>
  </si>
  <si>
    <t>R</t>
  </si>
  <si>
    <t>Finding Dory</t>
  </si>
  <si>
    <t>AA, C</t>
  </si>
  <si>
    <t>Frozen II</t>
  </si>
  <si>
    <t xml:space="preserve">Star Wars: Episode I - The Phantom Menace </t>
  </si>
  <si>
    <t>Star Wars: Episode IV - A New Hope</t>
  </si>
  <si>
    <t>Avengers: Age of Ultron</t>
  </si>
  <si>
    <t>The Dark Knight Rises</t>
  </si>
  <si>
    <t>AA</t>
  </si>
  <si>
    <t>Star Wars: Episode IX - The Rise of Skywalker</t>
  </si>
  <si>
    <t>Shrek 2</t>
  </si>
  <si>
    <t>DreamWorks Distribution</t>
  </si>
  <si>
    <t>AA, C, R</t>
  </si>
  <si>
    <t>E.T. the Txtra-Terrestrial</t>
  </si>
  <si>
    <t>SF</t>
  </si>
  <si>
    <t>Toy Story 4</t>
  </si>
  <si>
    <t>G</t>
  </si>
  <si>
    <t>Captain Marvel</t>
  </si>
  <si>
    <t>The Hunger Games: Catching Fire</t>
  </si>
  <si>
    <t>Lionsgate</t>
  </si>
  <si>
    <t>Pirates of the Caribbean: Dead Man's Chest</t>
  </si>
  <si>
    <t>The Lion King (Live Action)</t>
  </si>
  <si>
    <t>Jurassic World: Fallen Kingdom</t>
  </si>
  <si>
    <t>Toy Story 3</t>
  </si>
  <si>
    <t>Wonder Woman</t>
  </si>
  <si>
    <t>Iron Man 3</t>
  </si>
  <si>
    <t>Captain America: Civil War</t>
  </si>
  <si>
    <t>The Hunger Games</t>
  </si>
  <si>
    <t>Spider-Man</t>
  </si>
  <si>
    <t>Sony Pictures Releasing</t>
  </si>
  <si>
    <t>Jumanji: Welcome to the Jungle</t>
  </si>
  <si>
    <t>Jurassic Park</t>
  </si>
  <si>
    <t xml:space="preserve">Transformers: Revenge of the Fallen </t>
  </si>
  <si>
    <t xml:space="preserve">Frozen </t>
  </si>
  <si>
    <t>Spider-Man: Far from Home</t>
  </si>
  <si>
    <t>Guardians of the Galaxy Vol. 2</t>
  </si>
  <si>
    <t>Harry Potter and the Deathly Hallows: Part 2</t>
  </si>
  <si>
    <t>The Lord of the Rings: The Return of the King</t>
  </si>
  <si>
    <t>New Line Cinema</t>
  </si>
  <si>
    <t>Spider-Man 2</t>
  </si>
  <si>
    <t>The Passion of Christ</t>
  </si>
  <si>
    <t xml:space="preserve">Newmarket Films </t>
  </si>
  <si>
    <t>The Secret Life of Pets</t>
  </si>
  <si>
    <t>Despicable Me 2</t>
  </si>
  <si>
    <t>PG</t>
  </si>
  <si>
    <t>Finding Nemo</t>
  </si>
  <si>
    <t>Star Wars: Episode III - Revenge of the Sixth</t>
  </si>
  <si>
    <t>The Jungle Book (Live Action)</t>
  </si>
  <si>
    <t>Action/ Adventure</t>
  </si>
  <si>
    <t>Sci-Fi</t>
  </si>
  <si>
    <t>Drama</t>
  </si>
  <si>
    <t>Comedy</t>
  </si>
  <si>
    <t>Romance</t>
  </si>
  <si>
    <t xml:space="preserve">Genres </t>
  </si>
  <si>
    <t xml:space="preserve">Revenues </t>
  </si>
  <si>
    <t>C</t>
  </si>
  <si>
    <t xml:space="preserve">Revenue </t>
  </si>
  <si>
    <t>Revenue AA</t>
  </si>
  <si>
    <t xml:space="preserve">Studio </t>
  </si>
  <si>
    <t xml:space="preserve">Walt </t>
  </si>
  <si>
    <t xml:space="preserve">Twentieth </t>
  </si>
  <si>
    <t xml:space="preserve">Paramount </t>
  </si>
  <si>
    <t xml:space="preserve">Universal </t>
  </si>
  <si>
    <t xml:space="preserve">Warner </t>
  </si>
  <si>
    <t xml:space="preserve">DeamWorks </t>
  </si>
  <si>
    <t>Sony</t>
  </si>
  <si>
    <t xml:space="preserve">New Line </t>
  </si>
  <si>
    <t>New Market</t>
  </si>
  <si>
    <t xml:space="preserve">Count </t>
  </si>
  <si>
    <t>Column Labels</t>
  </si>
  <si>
    <t>Grand Total</t>
  </si>
  <si>
    <t>Row Labels</t>
  </si>
  <si>
    <t>Sum of $245,000,000</t>
  </si>
  <si>
    <t>Total Sum of $245,000,000</t>
  </si>
  <si>
    <t>Total Sum of $937,000,000</t>
  </si>
  <si>
    <t>Sum of $937,000,000</t>
  </si>
  <si>
    <t xml:space="preserve">Ratings </t>
  </si>
  <si>
    <t xml:space="preserve">Result </t>
  </si>
  <si>
    <t xml:space="preserve">PG. </t>
  </si>
  <si>
    <t>PG.</t>
  </si>
  <si>
    <t>.G</t>
  </si>
  <si>
    <t xml:space="preserve">Genre </t>
  </si>
  <si>
    <t xml:space="preserve">Distribution </t>
  </si>
  <si>
    <t>DreamWorks Distribution Sum of $245,000,000</t>
  </si>
  <si>
    <t>DreamWorks Distribution Sum of $937,000,000</t>
  </si>
  <si>
    <t>Lionsgate Sum of $245,000,000</t>
  </si>
  <si>
    <t>Lionsgate Sum of $937,000,000</t>
  </si>
  <si>
    <t>New Line Cinema Sum of $245,000,000</t>
  </si>
  <si>
    <t>New Line Cinema Sum of $937,000,000</t>
  </si>
  <si>
    <t>Newmarket Films  Sum of $245,000,000</t>
  </si>
  <si>
    <t>Newmarket Films  Sum of $937,000,000</t>
  </si>
  <si>
    <t>Paramount Pictures Sum of $245,000,000</t>
  </si>
  <si>
    <t>Paramount Pictures Sum of $937,000,000</t>
  </si>
  <si>
    <t>Sony Pictures Releasing Sum of $245,000,000</t>
  </si>
  <si>
    <t>Sony Pictures Releasing Sum of $937,000,000</t>
  </si>
  <si>
    <t>Twentieth Century Fox Sum of $245,000,000</t>
  </si>
  <si>
    <t>Twentieth Century Fox Sum of $937,000,000</t>
  </si>
  <si>
    <t>Universal Pictures Sum of $245,000,000</t>
  </si>
  <si>
    <t>Universal Pictures Sum of $937,000,000</t>
  </si>
  <si>
    <t>Walt Disney Studios Motion Pictures Sum of $245,000,000</t>
  </si>
  <si>
    <t>Walt Disney Studios Motion Pictures Sum of $937,000,000</t>
  </si>
  <si>
    <t>Warner Bros. Sum of $245,000,000</t>
  </si>
  <si>
    <t>Warner Bros. Sum of $937,000,000</t>
  </si>
  <si>
    <t>Count of AA, SF</t>
  </si>
  <si>
    <t xml:space="preserve">The chart with the most financially successful genres based on revenue is vital for the executive to decide before making any move. This chart is a revelation that genre AA has contributed most total revenue followed closely by genre SF, then the commedy genre, romance, and then drama.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</si>
</sst>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Fill="1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2" fillId="0" borderId="0" xfId="0" applyFont="1"/>
    <xf numFmtId="164" fontId="0" fillId="0" borderId="0" xfId="0" applyNumberForma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Most Successful Genres Based off the Total Number of Films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'Successful Genres (# of films)'!$A$1:$E$1</c:f>
              <c:strCache>
                <c:ptCount val="5"/>
                <c:pt idx="0">
                  <c:v>Action/ Adventure</c:v>
                </c:pt>
                <c:pt idx="1">
                  <c:v>Sci-Fi</c:v>
                </c:pt>
                <c:pt idx="2">
                  <c:v>Comedy</c:v>
                </c:pt>
                <c:pt idx="3">
                  <c:v>Drama</c:v>
                </c:pt>
                <c:pt idx="4">
                  <c:v>Romance</c:v>
                </c:pt>
              </c:strCache>
            </c:strRef>
          </c:cat>
          <c:val>
            <c:numRef>
              <c:f>'Successful Genres (# of films)'!$A$2:$E$2</c:f>
              <c:numCache>
                <c:formatCode>General</c:formatCode>
                <c:ptCount val="5"/>
                <c:pt idx="0">
                  <c:v>46</c:v>
                </c:pt>
                <c:pt idx="1">
                  <c:v>30</c:v>
                </c:pt>
                <c:pt idx="2">
                  <c:v>12</c:v>
                </c:pt>
                <c:pt idx="3">
                  <c:v>9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26-A943-8EDE-48570379A46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-408474352"/>
        <c:axId val="-408485232"/>
      </c:barChart>
      <c:catAx>
        <c:axId val="-408474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Genres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85232"/>
        <c:crosses val="autoZero"/>
        <c:auto val="1"/>
        <c:lblAlgn val="ctr"/>
        <c:lblOffset val="100"/>
        <c:noMultiLvlLbl val="0"/>
      </c:catAx>
      <c:valAx>
        <c:axId val="-40848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 Number of Films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4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'Successful Genres (revenue)'!$B$1</c:f>
              <c:strCache>
                <c:ptCount val="1"/>
                <c:pt idx="0">
                  <c:v>Revenues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'Successful Genres (revenue)'!$A$2:$A$6</c:f>
              <c:strCache>
                <c:ptCount val="5"/>
                <c:pt idx="0">
                  <c:v>AA</c:v>
                </c:pt>
                <c:pt idx="1">
                  <c:v>SF</c:v>
                </c:pt>
                <c:pt idx="2">
                  <c:v>D</c:v>
                </c:pt>
                <c:pt idx="3">
                  <c:v>C</c:v>
                </c:pt>
                <c:pt idx="4">
                  <c:v>R</c:v>
                </c:pt>
              </c:strCache>
            </c:strRef>
          </c:cat>
          <c:val>
            <c:numRef>
              <c:f>'Successful Genres (revenue)'!$B$2:$B$6</c:f>
              <c:numCache>
                <c:formatCode>"$"#,##0</c:formatCode>
                <c:ptCount val="5"/>
                <c:pt idx="0">
                  <c:v>13360013994</c:v>
                </c:pt>
                <c:pt idx="1">
                  <c:v>9612013994</c:v>
                </c:pt>
                <c:pt idx="2">
                  <c:v>2485000000</c:v>
                </c:pt>
                <c:pt idx="3">
                  <c:v>3349000000</c:v>
                </c:pt>
                <c:pt idx="4">
                  <c:v>635000000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-408475440"/>
        <c:axId val="-408474896"/>
      </c:barChart>
      <c:catAx>
        <c:axId val="-4084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4896"/>
        <c:crosses val="autoZero"/>
        <c:auto val="1"/>
        <c:lblAlgn val="ctr"/>
        <c:lblOffset val="100"/>
        <c:noMultiLvlLbl val="0"/>
      </c:catAx>
      <c:valAx>
        <c:axId val="-40847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Studio Returns </a:t>
            </a:r>
          </a:p>
        </c:rich>
      </c:tx>
      <c:layout>
        <c:manualLayout>
          <c:xMode val="edge"/>
          <c:yMode val="edge"/>
          <c:x val="0.45330812854442343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'Time Series Chart'!$B$2:$B$11</c:f>
              <c:numCache>
                <c:formatCode>General</c:formatCode>
                <c:ptCount val="10"/>
                <c:pt idx="0">
                  <c:v>25</c:v>
                </c:pt>
                <c:pt idx="1">
                  <c:v>4</c:v>
                </c:pt>
                <c:pt idx="2">
                  <c:v>1</c:v>
                </c:pt>
                <c:pt idx="3">
                  <c:v>6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</c:numCache>
            </c:numRef>
          </c:xVal>
          <c:yVal>
            <c:numRef>
              <c:f>'Time Series Chart'!$C$2:$C$11</c:f>
              <c:numCache>
                <c:formatCode>General</c:formatCode>
                <c:ptCount val="10"/>
                <c:pt idx="0">
                  <c:v>11669013994</c:v>
                </c:pt>
                <c:pt idx="1">
                  <c:v>1868000000</c:v>
                </c:pt>
                <c:pt idx="2">
                  <c:v>601000000</c:v>
                </c:pt>
                <c:pt idx="3">
                  <c:v>545000000</c:v>
                </c:pt>
                <c:pt idx="4">
                  <c:v>1775000000</c:v>
                </c:pt>
                <c:pt idx="5">
                  <c:v>843000000</c:v>
                </c:pt>
                <c:pt idx="6">
                  <c:v>833000000</c:v>
                </c:pt>
                <c:pt idx="7">
                  <c:v>1574000000</c:v>
                </c:pt>
                <c:pt idx="8">
                  <c:v>377000000</c:v>
                </c:pt>
                <c:pt idx="9">
                  <c:v>370000000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08486864"/>
        <c:axId val="-408473808"/>
      </c:scatterChart>
      <c:valAx>
        <c:axId val="-408486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Studio counts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3808"/>
        <c:crossesAt val="0"/>
        <c:crossBetween val="midCat"/>
      </c:valAx>
      <c:valAx>
        <c:axId val="-408473808"/>
        <c:scaling>
          <c:orientation val="minMax"/>
          <c:max val="14000000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Returns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86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'Most Successful Studios'!$B$1</c:f>
              <c:strCache>
                <c:ptCount val="1"/>
                <c:pt idx="0">
                  <c:v>Revenue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'Most Successful Studios'!$A$2:$A$11</c:f>
              <c:strCache>
                <c:ptCount val="10"/>
                <c:pt idx="0">
                  <c:v>Walt </c:v>
                </c:pt>
                <c:pt idx="1">
                  <c:v>Twentieth </c:v>
                </c:pt>
                <c:pt idx="2">
                  <c:v>Paramount </c:v>
                </c:pt>
                <c:pt idx="3">
                  <c:v>Universal </c:v>
                </c:pt>
                <c:pt idx="4">
                  <c:v>Warner </c:v>
                </c:pt>
                <c:pt idx="5">
                  <c:v>DeamWorks </c:v>
                </c:pt>
                <c:pt idx="6">
                  <c:v>Lionsgate</c:v>
                </c:pt>
                <c:pt idx="7">
                  <c:v>Sony</c:v>
                </c:pt>
                <c:pt idx="8">
                  <c:v>New Line </c:v>
                </c:pt>
                <c:pt idx="9">
                  <c:v>New Market</c:v>
                </c:pt>
              </c:strCache>
            </c:strRef>
          </c:cat>
          <c:val>
            <c:numRef>
              <c:f>'Most Successful Studios'!$B$2:$B$11</c:f>
              <c:numCache>
                <c:formatCode>General</c:formatCode>
                <c:ptCount val="10"/>
                <c:pt idx="0">
                  <c:v>11669013994</c:v>
                </c:pt>
                <c:pt idx="1">
                  <c:v>1868000000</c:v>
                </c:pt>
                <c:pt idx="2">
                  <c:v>601000000</c:v>
                </c:pt>
                <c:pt idx="3">
                  <c:v>545000000</c:v>
                </c:pt>
                <c:pt idx="4">
                  <c:v>1775000000</c:v>
                </c:pt>
                <c:pt idx="5">
                  <c:v>843000000</c:v>
                </c:pt>
                <c:pt idx="6">
                  <c:v>833000000</c:v>
                </c:pt>
                <c:pt idx="7">
                  <c:v>1574000000</c:v>
                </c:pt>
                <c:pt idx="8">
                  <c:v>377000000</c:v>
                </c:pt>
                <c:pt idx="9">
                  <c:v>370000000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408479792"/>
        <c:axId val="-408473264"/>
      </c:barChart>
      <c:catAx>
        <c:axId val="-40847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3264"/>
        <c:crosses val="autoZero"/>
        <c:auto val="1"/>
        <c:lblAlgn val="ctr"/>
        <c:lblOffset val="100"/>
        <c:noMultiLvlLbl val="0"/>
      </c:catAx>
      <c:valAx>
        <c:axId val="-40847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79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Genre Distribution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'Genre Distribution'!$B$1</c:f>
              <c:strCache>
                <c:ptCount val="1"/>
                <c:pt idx="0">
                  <c:v>Distribution 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cat>
            <c:strRef>
              <c:f>'Genre Distribution'!$A$2:$A$6</c:f>
              <c:strCache>
                <c:ptCount val="5"/>
                <c:pt idx="0">
                  <c:v>Action/ Adventure</c:v>
                </c:pt>
                <c:pt idx="1">
                  <c:v>Sci-Fi</c:v>
                </c:pt>
                <c:pt idx="2">
                  <c:v>Drama</c:v>
                </c:pt>
                <c:pt idx="3">
                  <c:v>Comedy</c:v>
                </c:pt>
                <c:pt idx="4">
                  <c:v>Romance</c:v>
                </c:pt>
              </c:strCache>
            </c:strRef>
          </c:cat>
          <c:val>
            <c:numRef>
              <c:f>'Genre Distribution'!$B$2:$B$6</c:f>
              <c:numCache>
                <c:formatCode>General</c:formatCode>
                <c:ptCount val="5"/>
                <c:pt idx="0">
                  <c:v>46</c:v>
                </c:pt>
                <c:pt idx="1">
                  <c:v>30</c:v>
                </c:pt>
                <c:pt idx="2">
                  <c:v>9</c:v>
                </c:pt>
                <c:pt idx="3">
                  <c:v>12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Rating Breakdown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'Rating Breakdown'!$A$2:$A$5</c:f>
              <c:strCache>
                <c:ptCount val="4"/>
                <c:pt idx="0">
                  <c:v>PG - 13</c:v>
                </c:pt>
                <c:pt idx="1">
                  <c:v>PG</c:v>
                </c:pt>
                <c:pt idx="2">
                  <c:v>G</c:v>
                </c:pt>
                <c:pt idx="3">
                  <c:v>R</c:v>
                </c:pt>
              </c:strCache>
            </c:strRef>
          </c:cat>
          <c:val>
            <c:numRef>
              <c:f>'Rating Breakdown'!$B$2:$B$5</c:f>
              <c:numCache>
                <c:formatCode>General</c:formatCode>
                <c:ptCount val="4"/>
                <c:pt idx="0">
                  <c:v>33</c:v>
                </c:pt>
                <c:pt idx="1">
                  <c:v>12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[FinalProject_Statistics.xlsx]# of Blockbusters!PivotTable4</c:name>
    <c:fmtId val="3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</c:pivotFmt>
      <c:pivotFmt>
        <c:idx val="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'# of Blockbusters'!$B$3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'# of Blockbusters'!$A$4:$A$14</c:f>
              <c:strCache>
                <c:ptCount val="10"/>
                <c:pt idx="0">
                  <c:v>AA</c:v>
                </c:pt>
                <c:pt idx="1">
                  <c:v>AA, C</c:v>
                </c:pt>
                <c:pt idx="2">
                  <c:v>AA, C, R</c:v>
                </c:pt>
                <c:pt idx="3">
                  <c:v>AA, C, SF</c:v>
                </c:pt>
                <c:pt idx="4">
                  <c:v>AA, D</c:v>
                </c:pt>
                <c:pt idx="5">
                  <c:v>AA, D, SF</c:v>
                </c:pt>
                <c:pt idx="6">
                  <c:v>AA, SF</c:v>
                </c:pt>
                <c:pt idx="7">
                  <c:v>D</c:v>
                </c:pt>
                <c:pt idx="8">
                  <c:v>R</c:v>
                </c:pt>
                <c:pt idx="9">
                  <c:v>SF</c:v>
                </c:pt>
              </c:strCache>
            </c:strRef>
          </c:cat>
          <c:val>
            <c:numRef>
              <c:f>'# of Blockbusters'!$B$4:$B$14</c:f>
              <c:numCache>
                <c:formatCode>General</c:formatCode>
                <c:ptCount val="10"/>
                <c:pt idx="0">
                  <c:v>475000000</c:v>
                </c:pt>
                <c:pt idx="1">
                  <c:v>1159000000</c:v>
                </c:pt>
                <c:pt idx="2">
                  <c:v>150000000</c:v>
                </c:pt>
                <c:pt idx="3">
                  <c:v>476000000</c:v>
                </c:pt>
                <c:pt idx="4">
                  <c:v>1009000000</c:v>
                </c:pt>
                <c:pt idx="5">
                  <c:v>356000000</c:v>
                </c:pt>
                <c:pt idx="6">
                  <c:v>4305000000</c:v>
                </c:pt>
                <c:pt idx="7">
                  <c:v>230000000</c:v>
                </c:pt>
                <c:pt idx="8">
                  <c:v>160000000</c:v>
                </c:pt>
                <c:pt idx="9">
                  <c:v>11000000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408483056"/>
        <c:axId val="-621065936"/>
      </c:barChart>
      <c:catAx>
        <c:axId val="-408483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21065936"/>
        <c:crosses val="autoZero"/>
        <c:auto val="1"/>
        <c:lblAlgn val="ctr"/>
        <c:lblOffset val="100"/>
        <c:noMultiLvlLbl val="0"/>
      </c:catAx>
      <c:valAx>
        <c:axId val="-62106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08483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0"/>
              <c:pt idx="0">
                <c:v>DreamWorks Distribution</c:v>
              </c:pt>
              <c:pt idx="1">
                <c:v>Lionsgate</c:v>
              </c:pt>
              <c:pt idx="2">
                <c:v>New Line Cinema</c:v>
              </c:pt>
              <c:pt idx="3">
                <c:v>Newmarket Films </c:v>
              </c:pt>
              <c:pt idx="4">
                <c:v>Paramount Pictures</c:v>
              </c:pt>
              <c:pt idx="5">
                <c:v>Sony Pictures Releasing</c:v>
              </c:pt>
              <c:pt idx="6">
                <c:v>Twentieth Century Fox</c:v>
              </c:pt>
              <c:pt idx="7">
                <c:v>Universal Pictures</c:v>
              </c:pt>
              <c:pt idx="8">
                <c:v>Walt Disney Studios Motion Pictures</c:v>
              </c:pt>
              <c:pt idx="9">
                <c:v>Warner Bros.</c:v>
              </c:pt>
            </c:strLit>
          </c:cat>
          <c:val>
            <c:numLit>
              <c:formatCode>General</c:formatCode>
              <c:ptCount val="10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4</c:v>
              </c:pt>
              <c:pt idx="6">
                <c:v>4</c:v>
              </c:pt>
              <c:pt idx="7">
                <c:v>6</c:v>
              </c:pt>
              <c:pt idx="8">
                <c:v>24</c:v>
              </c:pt>
              <c:pt idx="9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83845600"/>
        <c:axId val="-383849952"/>
      </c:barChart>
      <c:catAx>
        <c:axId val="-38384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83849952"/>
        <c:crosses val="autoZero"/>
        <c:auto val="1"/>
        <c:lblAlgn val="ctr"/>
        <c:lblOffset val="100"/>
        <c:noMultiLvlLbl val="0"/>
      </c:catAx>
      <c:valAx>
        <c:axId val="-38384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8384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11</xdr:col>
      <xdr:colOff>12700</xdr:colOff>
      <xdr:row>32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1F432859-FEF3-A648-8840-65B3474CC4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895350</xdr:colOff>
      <xdr:row>3</xdr:row>
      <xdr:rowOff>152399</xdr:rowOff>
    </xdr:from>
    <xdr:to>
      <xdr:col>10</xdr:col>
      <xdr:colOff>438150</xdr:colOff>
      <xdr:row>23</xdr:row>
      <xdr:rowOff>200024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695324</xdr:colOff>
      <xdr:row>2</xdr:row>
      <xdr:rowOff>161925</xdr:rowOff>
    </xdr:from>
    <xdr:to>
      <xdr:col>11</xdr:col>
      <xdr:colOff>542925</xdr:colOff>
      <xdr:row>21</xdr:row>
      <xdr:rowOff>95250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4</xdr:row>
      <xdr:rowOff>133350</xdr:rowOff>
    </xdr:from>
    <xdr:to>
      <xdr:col>11</xdr:col>
      <xdr:colOff>85725</xdr:colOff>
      <xdr:row>22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3</xdr:row>
      <xdr:rowOff>47625</xdr:rowOff>
    </xdr:from>
    <xdr:to>
      <xdr:col>11</xdr:col>
      <xdr:colOff>542924</xdr:colOff>
      <xdr:row>20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5</xdr:row>
      <xdr:rowOff>161925</xdr:rowOff>
    </xdr:from>
    <xdr:to>
      <xdr:col>11</xdr:col>
      <xdr:colOff>104774</xdr:colOff>
      <xdr:row>22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257174</xdr:colOff>
      <xdr:row>4</xdr:row>
      <xdr:rowOff>123826</xdr:rowOff>
    </xdr:from>
    <xdr:to>
      <xdr:col>10</xdr:col>
      <xdr:colOff>695325</xdr:colOff>
      <xdr:row>22</xdr:row>
      <xdr:rowOff>47626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7</xdr:row>
      <xdr:rowOff>114300</xdr:rowOff>
    </xdr:from>
    <xdr:to>
      <xdr:col>10</xdr:col>
      <xdr:colOff>390525</xdr:colOff>
      <xdr:row>22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3955.331239814812" createdVersion="5" refreshedVersion="5" minRefreshableVersion="3" recordCount="49">
  <cacheSource type="worksheet">
    <worksheetSource ref="C2:G51" sheet="Data"/>
  </cacheSource>
  <cacheFields count="5">
    <cacheField name="Walt Disney Studios Motion Pictures" numFmtId="0">
      <sharedItems count="10">
        <s v="Walt Disney Studios Motion Pictures"/>
        <s v="Twentieth Century Fox"/>
        <s v="Paramount Pictures"/>
        <s v="Universal Pictures"/>
        <s v="Warner Bros."/>
        <s v="DreamWorks Distribution"/>
        <s v="Lionsgate"/>
        <s v="Sony Pictures Releasing"/>
        <s v="New Line Cinema"/>
        <s v="Newmarket Films "/>
      </sharedItems>
    </cacheField>
    <cacheField name="AA, SF" numFmtId="0">
      <sharedItems count="10">
        <s v="AA, D, SF"/>
        <s v="AA, SF"/>
        <s v="D"/>
        <s v="AA, C, SF"/>
        <s v="AA, D"/>
        <s v="R"/>
        <s v="AA, C"/>
        <s v="AA"/>
        <s v="AA, C, R"/>
        <s v="SF"/>
      </sharedItems>
    </cacheField>
    <cacheField name="PG - 13" numFmtId="0">
      <sharedItems/>
    </cacheField>
    <cacheField name="$245,000,000" numFmtId="164">
      <sharedItems containsSemiMixedTypes="0" containsString="0" containsNumber="1" containsInteger="1" minValue="11000000" maxValue="356000000" count="30">
        <n v="356000000"/>
        <n v="237000000"/>
        <n v="202000000"/>
        <n v="316000000"/>
        <n v="200000000"/>
        <n v="150000000"/>
        <n v="220000000"/>
        <n v="317000000"/>
        <n v="260000000"/>
        <n v="185000000"/>
        <n v="275000000"/>
        <n v="160000000"/>
        <n v="115000000"/>
        <n v="11000000"/>
        <n v="250000000"/>
        <n v="130000000"/>
        <n v="225000000"/>
        <n v="45000000"/>
        <n v="170000000"/>
        <n v="149000000"/>
        <n v="78000000"/>
        <n v="139000000"/>
        <n v="90000000"/>
        <n v="63000000"/>
        <n v="94000000"/>
        <n v="113000000"/>
        <n v="30000000"/>
        <n v="75000000"/>
        <n v="76000000"/>
        <n v="175000000"/>
      </sharedItems>
    </cacheField>
    <cacheField name="$937,000,000" numFmtId="164">
      <sharedItems containsSemiMixedTypes="0" containsString="0" containsNumber="1" containsInteger="1" minValue="103000000" maxValue="858000000" count="47">
        <n v="858000000"/>
        <n v="750000000"/>
        <n v="700000000"/>
        <n v="679000000"/>
        <n v="601000000"/>
        <n v="652000000"/>
        <n v="623000000"/>
        <n v="620000000"/>
        <n v="609000000"/>
        <n v="544000000"/>
        <n v="533000000"/>
        <n v="532000000"/>
        <n v="515000000"/>
        <n v="504000000"/>
        <n v="486000000"/>
        <n v="477000000"/>
        <n v="431000000"/>
        <n v="307000000"/>
        <n v="459000000"/>
        <n v="448000000"/>
        <n v="441000000"/>
        <n v="359000000"/>
        <n v="434000000"/>
        <n v="427000000"/>
        <n v="425000000"/>
        <n v="423000000"/>
        <n v="313000000"/>
        <n v="418000000"/>
        <n v="415000000"/>
        <n v="413000000"/>
        <n v="409013994"/>
        <n v="408000000"/>
        <n v="404000000"/>
        <n v="405000000"/>
        <n v="357000000"/>
        <n v="402000000"/>
        <n v="401000000"/>
        <n v="391000000"/>
        <n v="390000000"/>
        <n v="381000000"/>
        <n v="340000000"/>
        <n v="380000000"/>
        <n v="377000000"/>
        <n v="374000000"/>
        <n v="370000000"/>
        <n v="368000000"/>
        <n v="10300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dmin" refreshedDate="43955.375469212966" createdVersion="5" refreshedVersion="5" minRefreshableVersion="3" recordCount="49">
  <cacheSource type="worksheet">
    <worksheetSource ref="D2:G51" sheet="Data"/>
  </cacheSource>
  <cacheFields count="4">
    <cacheField name="AA, SF" numFmtId="0">
      <sharedItems count="10">
        <s v="AA, D, SF"/>
        <s v="AA, SF"/>
        <s v="D"/>
        <s v="AA, C, SF"/>
        <s v="AA, D"/>
        <s v="R"/>
        <s v="AA, C"/>
        <s v="AA"/>
        <s v="AA, C, R"/>
        <s v="SF"/>
      </sharedItems>
    </cacheField>
    <cacheField name="PG - 13" numFmtId="0">
      <sharedItems/>
    </cacheField>
    <cacheField name="$245,000,000" numFmtId="164">
      <sharedItems containsSemiMixedTypes="0" containsString="0" containsNumber="1" containsInteger="1" minValue="11000000" maxValue="356000000" count="30">
        <n v="356000000"/>
        <n v="237000000"/>
        <n v="202000000"/>
        <n v="316000000"/>
        <n v="200000000"/>
        <n v="150000000"/>
        <n v="220000000"/>
        <n v="317000000"/>
        <n v="260000000"/>
        <n v="185000000"/>
        <n v="275000000"/>
        <n v="160000000"/>
        <n v="115000000"/>
        <n v="11000000"/>
        <n v="250000000"/>
        <n v="130000000"/>
        <n v="225000000"/>
        <n v="45000000"/>
        <n v="170000000"/>
        <n v="149000000"/>
        <n v="78000000"/>
        <n v="139000000"/>
        <n v="90000000"/>
        <n v="63000000"/>
        <n v="94000000"/>
        <n v="113000000"/>
        <n v="30000000"/>
        <n v="75000000"/>
        <n v="76000000"/>
        <n v="175000000"/>
      </sharedItems>
    </cacheField>
    <cacheField name="$937,000,000" numFmtId="164">
      <sharedItems containsSemiMixedTypes="0" containsString="0" containsNumber="1" containsInteger="1" minValue="103000000" maxValue="858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dmin" refreshedDate="43955.383173958333" createdVersion="5" refreshedVersion="5" minRefreshableVersion="3" recordCount="49">
  <cacheSource type="worksheet">
    <worksheetSource ref="C2:D51" sheet="Data"/>
  </cacheSource>
  <cacheFields count="2">
    <cacheField name="Walt Disney Studios Motion Pictures" numFmtId="0">
      <sharedItems count="10">
        <s v="Walt Disney Studios Motion Pictures"/>
        <s v="Twentieth Century Fox"/>
        <s v="Paramount Pictures"/>
        <s v="Universal Pictures"/>
        <s v="Warner Bros."/>
        <s v="DreamWorks Distribution"/>
        <s v="Lionsgate"/>
        <s v="Sony Pictures Releasing"/>
        <s v="New Line Cinema"/>
        <s v="Newmarket Films "/>
      </sharedItems>
    </cacheField>
    <cacheField name="AA, SF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">
  <r>
    <x v="0"/>
    <x v="0"/>
    <s v="PG - 13"/>
    <x v="0"/>
    <x v="0"/>
  </r>
  <r>
    <x v="1"/>
    <x v="1"/>
    <s v="PG - 13"/>
    <x v="1"/>
    <x v="1"/>
  </r>
  <r>
    <x v="0"/>
    <x v="1"/>
    <s v="PG - 13"/>
    <x v="2"/>
    <x v="2"/>
  </r>
  <r>
    <x v="0"/>
    <x v="1"/>
    <s v="PG - 13"/>
    <x v="3"/>
    <x v="3"/>
  </r>
  <r>
    <x v="2"/>
    <x v="2"/>
    <s v="PG - 13"/>
    <x v="4"/>
    <x v="4"/>
  </r>
  <r>
    <x v="3"/>
    <x v="1"/>
    <s v="PG - 13"/>
    <x v="5"/>
    <x v="5"/>
  </r>
  <r>
    <x v="0"/>
    <x v="1"/>
    <s v="PG - 13"/>
    <x v="6"/>
    <x v="6"/>
  </r>
  <r>
    <x v="0"/>
    <x v="1"/>
    <s v="PG - 13"/>
    <x v="7"/>
    <x v="7"/>
  </r>
  <r>
    <x v="0"/>
    <x v="3"/>
    <s v="PG - 13"/>
    <x v="4"/>
    <x v="8"/>
  </r>
  <r>
    <x v="0"/>
    <x v="4"/>
    <s v="PG "/>
    <x v="8"/>
    <x v="9"/>
  </r>
  <r>
    <x v="4"/>
    <x v="4"/>
    <s v="PG - 13"/>
    <x v="9"/>
    <x v="10"/>
  </r>
  <r>
    <x v="0"/>
    <x v="1"/>
    <s v="PG - 13"/>
    <x v="4"/>
    <x v="11"/>
  </r>
  <r>
    <x v="0"/>
    <x v="1"/>
    <s v="PG - 13"/>
    <x v="10"/>
    <x v="12"/>
  </r>
  <r>
    <x v="0"/>
    <x v="5"/>
    <s v="PG "/>
    <x v="11"/>
    <x v="13"/>
  </r>
  <r>
    <x v="0"/>
    <x v="6"/>
    <s v="PG "/>
    <x v="4"/>
    <x v="14"/>
  </r>
  <r>
    <x v="0"/>
    <x v="6"/>
    <s v="PG "/>
    <x v="5"/>
    <x v="15"/>
  </r>
  <r>
    <x v="1"/>
    <x v="1"/>
    <s v="PG "/>
    <x v="12"/>
    <x v="16"/>
  </r>
  <r>
    <x v="1"/>
    <x v="1"/>
    <s v="PG "/>
    <x v="13"/>
    <x v="17"/>
  </r>
  <r>
    <x v="0"/>
    <x v="1"/>
    <s v="PG - 13"/>
    <x v="14"/>
    <x v="18"/>
  </r>
  <r>
    <x v="4"/>
    <x v="7"/>
    <s v="PG - 13"/>
    <x v="14"/>
    <x v="19"/>
  </r>
  <r>
    <x v="5"/>
    <x v="8"/>
    <s v="PG "/>
    <x v="5"/>
    <x v="20"/>
  </r>
  <r>
    <x v="3"/>
    <x v="9"/>
    <s v="PG "/>
    <x v="13"/>
    <x v="21"/>
  </r>
  <r>
    <x v="0"/>
    <x v="6"/>
    <s v="G"/>
    <x v="4"/>
    <x v="22"/>
  </r>
  <r>
    <x v="0"/>
    <x v="1"/>
    <s v="PG - 13"/>
    <x v="11"/>
    <x v="23"/>
  </r>
  <r>
    <x v="6"/>
    <x v="1"/>
    <s v="PG - 13"/>
    <x v="15"/>
    <x v="24"/>
  </r>
  <r>
    <x v="0"/>
    <x v="7"/>
    <s v="PG - 13"/>
    <x v="16"/>
    <x v="25"/>
  </r>
  <r>
    <x v="0"/>
    <x v="4"/>
    <s v="G"/>
    <x v="17"/>
    <x v="26"/>
  </r>
  <r>
    <x v="3"/>
    <x v="1"/>
    <s v="PG - 13"/>
    <x v="18"/>
    <x v="27"/>
  </r>
  <r>
    <x v="0"/>
    <x v="6"/>
    <s v="G"/>
    <x v="4"/>
    <x v="28"/>
  </r>
  <r>
    <x v="4"/>
    <x v="1"/>
    <s v="PG - 13"/>
    <x v="19"/>
    <x v="29"/>
  </r>
  <r>
    <x v="0"/>
    <x v="1"/>
    <s v="PG - 13"/>
    <x v="4"/>
    <x v="30"/>
  </r>
  <r>
    <x v="0"/>
    <x v="1"/>
    <s v="PG - 13"/>
    <x v="14"/>
    <x v="31"/>
  </r>
  <r>
    <x v="6"/>
    <x v="1"/>
    <s v="PG - 13"/>
    <x v="20"/>
    <x v="31"/>
  </r>
  <r>
    <x v="7"/>
    <x v="1"/>
    <s v="PG - 13"/>
    <x v="21"/>
    <x v="32"/>
  </r>
  <r>
    <x v="7"/>
    <x v="6"/>
    <s v="PG - 13"/>
    <x v="22"/>
    <x v="33"/>
  </r>
  <r>
    <x v="3"/>
    <x v="1"/>
    <s v="PG - 13"/>
    <x v="23"/>
    <x v="34"/>
  </r>
  <r>
    <x v="5"/>
    <x v="1"/>
    <s v="PG - 13"/>
    <x v="4"/>
    <x v="35"/>
  </r>
  <r>
    <x v="0"/>
    <x v="6"/>
    <s v="PG "/>
    <x v="5"/>
    <x v="36"/>
  </r>
  <r>
    <x v="7"/>
    <x v="1"/>
    <s v="PG - 13"/>
    <x v="11"/>
    <x v="37"/>
  </r>
  <r>
    <x v="0"/>
    <x v="3"/>
    <s v="PG - 13"/>
    <x v="4"/>
    <x v="38"/>
  </r>
  <r>
    <x v="4"/>
    <x v="4"/>
    <s v="PG - 13"/>
    <x v="14"/>
    <x v="39"/>
  </r>
  <r>
    <x v="0"/>
    <x v="6"/>
    <s v="G"/>
    <x v="24"/>
    <x v="40"/>
  </r>
  <r>
    <x v="1"/>
    <x v="1"/>
    <s v="PG - 13"/>
    <x v="25"/>
    <x v="41"/>
  </r>
  <r>
    <x v="8"/>
    <x v="4"/>
    <s v="PG - 13"/>
    <x v="24"/>
    <x v="42"/>
  </r>
  <r>
    <x v="7"/>
    <x v="1"/>
    <s v="PG - 13"/>
    <x v="4"/>
    <x v="43"/>
  </r>
  <r>
    <x v="9"/>
    <x v="2"/>
    <s v="R"/>
    <x v="26"/>
    <x v="44"/>
  </r>
  <r>
    <x v="3"/>
    <x v="6"/>
    <s v="PG "/>
    <x v="27"/>
    <x v="45"/>
  </r>
  <r>
    <x v="3"/>
    <x v="3"/>
    <s v="PG"/>
    <x v="28"/>
    <x v="45"/>
  </r>
  <r>
    <x v="0"/>
    <x v="4"/>
    <s v="PG"/>
    <x v="29"/>
    <x v="4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9">
  <r>
    <x v="0"/>
    <s v="PG - 13"/>
    <x v="0"/>
    <n v="858000000"/>
  </r>
  <r>
    <x v="1"/>
    <s v="PG - 13"/>
    <x v="1"/>
    <n v="750000000"/>
  </r>
  <r>
    <x v="1"/>
    <s v="PG - 13"/>
    <x v="2"/>
    <n v="700000000"/>
  </r>
  <r>
    <x v="1"/>
    <s v="PG - 13"/>
    <x v="3"/>
    <n v="679000000"/>
  </r>
  <r>
    <x v="2"/>
    <s v="PG - 13"/>
    <x v="4"/>
    <n v="601000000"/>
  </r>
  <r>
    <x v="1"/>
    <s v="PG - 13"/>
    <x v="5"/>
    <n v="652000000"/>
  </r>
  <r>
    <x v="1"/>
    <s v="PG - 13"/>
    <x v="6"/>
    <n v="623000000"/>
  </r>
  <r>
    <x v="1"/>
    <s v="PG - 13"/>
    <x v="7"/>
    <n v="620000000"/>
  </r>
  <r>
    <x v="3"/>
    <s v="PG - 13"/>
    <x v="4"/>
    <n v="609000000"/>
  </r>
  <r>
    <x v="4"/>
    <s v="PG. "/>
    <x v="8"/>
    <n v="544000000"/>
  </r>
  <r>
    <x v="4"/>
    <s v="PG - 13"/>
    <x v="9"/>
    <n v="533000000"/>
  </r>
  <r>
    <x v="1"/>
    <s v="PG - 13"/>
    <x v="4"/>
    <n v="532000000"/>
  </r>
  <r>
    <x v="1"/>
    <s v="PG - 13"/>
    <x v="10"/>
    <n v="515000000"/>
  </r>
  <r>
    <x v="5"/>
    <s v="PG."/>
    <x v="11"/>
    <n v="504000000"/>
  </r>
  <r>
    <x v="6"/>
    <s v="PG."/>
    <x v="4"/>
    <n v="486000000"/>
  </r>
  <r>
    <x v="6"/>
    <s v="PG."/>
    <x v="5"/>
    <n v="477000000"/>
  </r>
  <r>
    <x v="1"/>
    <s v="PG."/>
    <x v="12"/>
    <n v="431000000"/>
  </r>
  <r>
    <x v="1"/>
    <s v="PG."/>
    <x v="13"/>
    <n v="307000000"/>
  </r>
  <r>
    <x v="1"/>
    <s v="PG - 13"/>
    <x v="14"/>
    <n v="459000000"/>
  </r>
  <r>
    <x v="7"/>
    <s v="PG - 13"/>
    <x v="14"/>
    <n v="448000000"/>
  </r>
  <r>
    <x v="8"/>
    <s v="PG."/>
    <x v="5"/>
    <n v="441000000"/>
  </r>
  <r>
    <x v="9"/>
    <s v="PG."/>
    <x v="13"/>
    <n v="359000000"/>
  </r>
  <r>
    <x v="6"/>
    <s v=".G"/>
    <x v="4"/>
    <n v="434000000"/>
  </r>
  <r>
    <x v="1"/>
    <s v="PG - 13"/>
    <x v="11"/>
    <n v="427000000"/>
  </r>
  <r>
    <x v="1"/>
    <s v="PG - 13"/>
    <x v="15"/>
    <n v="425000000"/>
  </r>
  <r>
    <x v="7"/>
    <s v="PG - 13"/>
    <x v="16"/>
    <n v="423000000"/>
  </r>
  <r>
    <x v="4"/>
    <s v=".G"/>
    <x v="17"/>
    <n v="313000000"/>
  </r>
  <r>
    <x v="1"/>
    <s v="PG - 13"/>
    <x v="18"/>
    <n v="418000000"/>
  </r>
  <r>
    <x v="6"/>
    <s v=".G"/>
    <x v="4"/>
    <n v="415000000"/>
  </r>
  <r>
    <x v="1"/>
    <s v="PG - 13"/>
    <x v="19"/>
    <n v="413000000"/>
  </r>
  <r>
    <x v="1"/>
    <s v="PG - 13"/>
    <x v="4"/>
    <n v="409013994"/>
  </r>
  <r>
    <x v="1"/>
    <s v="PG - 13"/>
    <x v="14"/>
    <n v="408000000"/>
  </r>
  <r>
    <x v="1"/>
    <s v="PG - 13"/>
    <x v="20"/>
    <n v="408000000"/>
  </r>
  <r>
    <x v="1"/>
    <s v="PG - 13"/>
    <x v="21"/>
    <n v="404000000"/>
  </r>
  <r>
    <x v="6"/>
    <s v="PG - 13"/>
    <x v="22"/>
    <n v="405000000"/>
  </r>
  <r>
    <x v="1"/>
    <s v="PG - 13"/>
    <x v="23"/>
    <n v="357000000"/>
  </r>
  <r>
    <x v="1"/>
    <s v="PG - 13"/>
    <x v="4"/>
    <n v="402000000"/>
  </r>
  <r>
    <x v="6"/>
    <s v="PG."/>
    <x v="5"/>
    <n v="401000000"/>
  </r>
  <r>
    <x v="1"/>
    <s v="PG - 13"/>
    <x v="11"/>
    <n v="391000000"/>
  </r>
  <r>
    <x v="3"/>
    <s v="PG - 13"/>
    <x v="4"/>
    <n v="390000000"/>
  </r>
  <r>
    <x v="4"/>
    <s v="PG - 13"/>
    <x v="14"/>
    <n v="381000000"/>
  </r>
  <r>
    <x v="6"/>
    <s v=".G"/>
    <x v="24"/>
    <n v="340000000"/>
  </r>
  <r>
    <x v="1"/>
    <s v="PG - 13"/>
    <x v="25"/>
    <n v="380000000"/>
  </r>
  <r>
    <x v="4"/>
    <s v="PG - 13"/>
    <x v="24"/>
    <n v="377000000"/>
  </r>
  <r>
    <x v="1"/>
    <s v="PG - 13"/>
    <x v="4"/>
    <n v="374000000"/>
  </r>
  <r>
    <x v="2"/>
    <s v="R"/>
    <x v="26"/>
    <n v="370000000"/>
  </r>
  <r>
    <x v="6"/>
    <s v="PG."/>
    <x v="27"/>
    <n v="368000000"/>
  </r>
  <r>
    <x v="3"/>
    <s v="PG."/>
    <x v="28"/>
    <n v="368000000"/>
  </r>
  <r>
    <x v="4"/>
    <s v="PG."/>
    <x v="29"/>
    <n v="1030000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49">
  <r>
    <x v="0"/>
    <s v="AA, D, SF"/>
  </r>
  <r>
    <x v="1"/>
    <s v="AA, SF"/>
  </r>
  <r>
    <x v="0"/>
    <s v="AA, SF"/>
  </r>
  <r>
    <x v="0"/>
    <s v="AA, SF"/>
  </r>
  <r>
    <x v="2"/>
    <s v="D"/>
  </r>
  <r>
    <x v="3"/>
    <s v="AA, SF"/>
  </r>
  <r>
    <x v="0"/>
    <s v="AA, SF"/>
  </r>
  <r>
    <x v="0"/>
    <s v="AA, SF"/>
  </r>
  <r>
    <x v="0"/>
    <s v="AA, C, SF"/>
  </r>
  <r>
    <x v="0"/>
    <s v="AA, D"/>
  </r>
  <r>
    <x v="4"/>
    <s v="AA, D"/>
  </r>
  <r>
    <x v="0"/>
    <s v="AA, SF"/>
  </r>
  <r>
    <x v="0"/>
    <s v="AA, SF"/>
  </r>
  <r>
    <x v="0"/>
    <s v="R"/>
  </r>
  <r>
    <x v="0"/>
    <s v="AA, C"/>
  </r>
  <r>
    <x v="0"/>
    <s v="AA, C"/>
  </r>
  <r>
    <x v="1"/>
    <s v="AA, SF"/>
  </r>
  <r>
    <x v="1"/>
    <s v="AA, SF"/>
  </r>
  <r>
    <x v="0"/>
    <s v="AA, SF"/>
  </r>
  <r>
    <x v="4"/>
    <s v="AA"/>
  </r>
  <r>
    <x v="5"/>
    <s v="AA, C, R"/>
  </r>
  <r>
    <x v="3"/>
    <s v="SF"/>
  </r>
  <r>
    <x v="0"/>
    <s v="AA, C"/>
  </r>
  <r>
    <x v="0"/>
    <s v="AA, SF"/>
  </r>
  <r>
    <x v="6"/>
    <s v="AA, SF"/>
  </r>
  <r>
    <x v="0"/>
    <s v="AA"/>
  </r>
  <r>
    <x v="0"/>
    <s v="AA, D"/>
  </r>
  <r>
    <x v="3"/>
    <s v="AA, SF"/>
  </r>
  <r>
    <x v="0"/>
    <s v="AA, C"/>
  </r>
  <r>
    <x v="4"/>
    <s v="AA, SF"/>
  </r>
  <r>
    <x v="0"/>
    <s v="AA, SF"/>
  </r>
  <r>
    <x v="0"/>
    <s v="AA, SF"/>
  </r>
  <r>
    <x v="6"/>
    <s v="AA, SF"/>
  </r>
  <r>
    <x v="7"/>
    <s v="AA, SF"/>
  </r>
  <r>
    <x v="7"/>
    <s v="AA, C"/>
  </r>
  <r>
    <x v="3"/>
    <s v="AA, SF"/>
  </r>
  <r>
    <x v="5"/>
    <s v="AA, SF"/>
  </r>
  <r>
    <x v="0"/>
    <s v="AA, C"/>
  </r>
  <r>
    <x v="7"/>
    <s v="AA, SF"/>
  </r>
  <r>
    <x v="0"/>
    <s v="AA, C, SF"/>
  </r>
  <r>
    <x v="4"/>
    <s v="AA, D"/>
  </r>
  <r>
    <x v="0"/>
    <s v="AA, C"/>
  </r>
  <r>
    <x v="1"/>
    <s v="AA, SF"/>
  </r>
  <r>
    <x v="8"/>
    <s v="AA, D"/>
  </r>
  <r>
    <x v="7"/>
    <s v="AA, SF"/>
  </r>
  <r>
    <x v="9"/>
    <s v="D"/>
  </r>
  <r>
    <x v="3"/>
    <s v="AA, C"/>
  </r>
  <r>
    <x v="3"/>
    <s v="AA, C, SF"/>
  </r>
  <r>
    <x v="0"/>
    <s v="AA, 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P7" firstHeaderRow="1" firstDataRow="4" firstDataCol="0"/>
  <pivotFields count="5">
    <pivotField axis="axisCol" showAll="0">
      <items count="11">
        <item x="5"/>
        <item x="6"/>
        <item x="8"/>
        <item x="9"/>
        <item x="2"/>
        <item x="7"/>
        <item x="1"/>
        <item x="3"/>
        <item x="0"/>
        <item x="4"/>
        <item t="default"/>
      </items>
    </pivotField>
    <pivotField axis="axisCol" showAll="0">
      <items count="11">
        <item x="7"/>
        <item x="6"/>
        <item x="8"/>
        <item x="3"/>
        <item x="4"/>
        <item x="0"/>
        <item x="1"/>
        <item x="2"/>
        <item x="5"/>
        <item x="9"/>
        <item t="default"/>
      </items>
    </pivotField>
    <pivotField showAll="0"/>
    <pivotField dataField="1" numFmtId="164" showAll="0">
      <items count="31">
        <item x="13"/>
        <item x="26"/>
        <item x="17"/>
        <item x="23"/>
        <item x="27"/>
        <item x="28"/>
        <item x="20"/>
        <item x="22"/>
        <item x="24"/>
        <item x="25"/>
        <item x="12"/>
        <item x="15"/>
        <item x="21"/>
        <item x="19"/>
        <item x="5"/>
        <item x="11"/>
        <item x="18"/>
        <item x="29"/>
        <item x="9"/>
        <item x="4"/>
        <item x="2"/>
        <item x="6"/>
        <item x="16"/>
        <item x="1"/>
        <item x="14"/>
        <item x="8"/>
        <item x="10"/>
        <item x="3"/>
        <item x="7"/>
        <item x="0"/>
        <item t="default"/>
      </items>
    </pivotField>
    <pivotField dataField="1" numFmtId="164" showAll="0">
      <items count="48">
        <item x="46"/>
        <item x="17"/>
        <item x="26"/>
        <item x="40"/>
        <item x="34"/>
        <item x="21"/>
        <item x="45"/>
        <item x="44"/>
        <item x="43"/>
        <item x="42"/>
        <item x="41"/>
        <item x="39"/>
        <item x="38"/>
        <item x="37"/>
        <item x="36"/>
        <item x="35"/>
        <item x="32"/>
        <item x="33"/>
        <item x="31"/>
        <item x="30"/>
        <item x="29"/>
        <item x="28"/>
        <item x="27"/>
        <item x="25"/>
        <item x="24"/>
        <item x="23"/>
        <item x="16"/>
        <item x="22"/>
        <item x="20"/>
        <item x="19"/>
        <item x="18"/>
        <item x="15"/>
        <item x="14"/>
        <item x="13"/>
        <item x="12"/>
        <item x="11"/>
        <item x="10"/>
        <item x="9"/>
        <item x="4"/>
        <item x="8"/>
        <item x="7"/>
        <item x="6"/>
        <item x="5"/>
        <item x="3"/>
        <item x="2"/>
        <item x="1"/>
        <item x="0"/>
        <item t="default"/>
      </items>
    </pivotField>
  </pivotFields>
  <rowItems count="1">
    <i/>
  </rowItems>
  <colFields count="3">
    <field x="0"/>
    <field x="1"/>
    <field x="-2"/>
  </colFields>
  <colItems count="68">
    <i>
      <x/>
      <x v="2"/>
      <x/>
    </i>
    <i r="2" i="1">
      <x v="1"/>
    </i>
    <i r="1">
      <x v="6"/>
      <x/>
    </i>
    <i r="2" i="1">
      <x v="1"/>
    </i>
    <i t="default">
      <x/>
    </i>
    <i t="default" i="1">
      <x/>
    </i>
    <i>
      <x v="1"/>
      <x v="6"/>
      <x/>
    </i>
    <i r="2" i="1">
      <x v="1"/>
    </i>
    <i t="default">
      <x v="1"/>
    </i>
    <i t="default" i="1">
      <x v="1"/>
    </i>
    <i>
      <x v="2"/>
      <x v="4"/>
      <x/>
    </i>
    <i r="2" i="1">
      <x v="1"/>
    </i>
    <i t="default">
      <x v="2"/>
    </i>
    <i t="default" i="1">
      <x v="2"/>
    </i>
    <i>
      <x v="3"/>
      <x v="7"/>
      <x/>
    </i>
    <i r="2" i="1">
      <x v="1"/>
    </i>
    <i t="default">
      <x v="3"/>
    </i>
    <i t="default" i="1">
      <x v="3"/>
    </i>
    <i>
      <x v="4"/>
      <x v="7"/>
      <x/>
    </i>
    <i r="2" i="1">
      <x v="1"/>
    </i>
    <i t="default">
      <x v="4"/>
    </i>
    <i t="default" i="1">
      <x v="4"/>
    </i>
    <i>
      <x v="5"/>
      <x v="1"/>
      <x/>
    </i>
    <i r="2" i="1">
      <x v="1"/>
    </i>
    <i r="1">
      <x v="6"/>
      <x/>
    </i>
    <i r="2" i="1">
      <x v="1"/>
    </i>
    <i t="default">
      <x v="5"/>
    </i>
    <i t="default" i="1">
      <x v="5"/>
    </i>
    <i>
      <x v="6"/>
      <x v="6"/>
      <x/>
    </i>
    <i r="2" i="1">
      <x v="1"/>
    </i>
    <i t="default">
      <x v="6"/>
    </i>
    <i t="default" i="1">
      <x v="6"/>
    </i>
    <i>
      <x v="7"/>
      <x v="1"/>
      <x/>
    </i>
    <i r="2" i="1">
      <x v="1"/>
    </i>
    <i r="1">
      <x v="3"/>
      <x/>
    </i>
    <i r="2" i="1">
      <x v="1"/>
    </i>
    <i r="1">
      <x v="6"/>
      <x/>
    </i>
    <i r="2" i="1">
      <x v="1"/>
    </i>
    <i r="1">
      <x v="9"/>
      <x/>
    </i>
    <i r="2" i="1">
      <x v="1"/>
    </i>
    <i t="default">
      <x v="7"/>
    </i>
    <i t="default" i="1">
      <x v="7"/>
    </i>
    <i>
      <x v="8"/>
      <x/>
      <x/>
    </i>
    <i r="2" i="1">
      <x v="1"/>
    </i>
    <i r="1">
      <x v="1"/>
      <x/>
    </i>
    <i r="2" i="1">
      <x v="1"/>
    </i>
    <i r="1">
      <x v="3"/>
      <x/>
    </i>
    <i r="2" i="1">
      <x v="1"/>
    </i>
    <i r="1">
      <x v="4"/>
      <x/>
    </i>
    <i r="2" i="1">
      <x v="1"/>
    </i>
    <i r="1">
      <x v="5"/>
      <x/>
    </i>
    <i r="2" i="1">
      <x v="1"/>
    </i>
    <i r="1">
      <x v="6"/>
      <x/>
    </i>
    <i r="2" i="1">
      <x v="1"/>
    </i>
    <i r="1">
      <x v="8"/>
      <x/>
    </i>
    <i r="2" i="1">
      <x v="1"/>
    </i>
    <i t="default">
      <x v="8"/>
    </i>
    <i t="default" i="1">
      <x v="8"/>
    </i>
    <i>
      <x v="9"/>
      <x/>
      <x/>
    </i>
    <i r="2" i="1">
      <x v="1"/>
    </i>
    <i r="1">
      <x v="4"/>
      <x/>
    </i>
    <i r="2" i="1">
      <x v="1"/>
    </i>
    <i r="1">
      <x v="6"/>
      <x/>
    </i>
    <i r="2" i="1">
      <x v="1"/>
    </i>
    <i t="default">
      <x v="9"/>
    </i>
    <i t="default" i="1">
      <x v="9"/>
    </i>
    <i t="grand">
      <x/>
    </i>
    <i t="grand" i="1">
      <x/>
    </i>
  </colItems>
  <dataFields count="2">
    <dataField name="Sum of $245,000,000" fld="3" baseField="0" baseItem="0"/>
    <dataField name="Sum of $937,000,000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4">
  <location ref="A3:B14" firstHeaderRow="1" firstDataRow="1" firstDataCol="1"/>
  <pivotFields count="4">
    <pivotField axis="axisRow" showAll="0">
      <items count="11">
        <item x="7"/>
        <item x="6"/>
        <item x="8"/>
        <item x="3"/>
        <item x="4"/>
        <item x="0"/>
        <item x="1"/>
        <item x="2"/>
        <item x="5"/>
        <item x="9"/>
        <item t="default"/>
      </items>
    </pivotField>
    <pivotField showAll="0"/>
    <pivotField dataField="1" numFmtId="164" showAll="0">
      <items count="31">
        <item x="13"/>
        <item x="26"/>
        <item x="17"/>
        <item x="23"/>
        <item x="27"/>
        <item x="28"/>
        <item x="20"/>
        <item x="22"/>
        <item x="24"/>
        <item x="25"/>
        <item x="12"/>
        <item x="15"/>
        <item x="21"/>
        <item x="19"/>
        <item x="5"/>
        <item x="11"/>
        <item x="18"/>
        <item x="29"/>
        <item x="9"/>
        <item x="4"/>
        <item x="2"/>
        <item x="6"/>
        <item x="16"/>
        <item x="1"/>
        <item x="14"/>
        <item x="8"/>
        <item x="10"/>
        <item x="3"/>
        <item x="7"/>
        <item x="0"/>
        <item t="default"/>
      </items>
    </pivotField>
    <pivotField numFmtId="164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 of $245,000,000" fld="2" baseField="0" baseItem="0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7" cacheId="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3">
  <location ref="A3:B14" firstHeaderRow="1" firstDataRow="1" firstDataCol="1"/>
  <pivotFields count="2">
    <pivotField axis="axisRow" showAll="0">
      <items count="11">
        <item x="5"/>
        <item x="6"/>
        <item x="8"/>
        <item x="9"/>
        <item x="2"/>
        <item x="7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ount of AA, SF" fld="1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P7"/>
  <sheetViews>
    <sheetView topLeftCell="AP1" workbookViewId="0">
      <selection activeCell="A3" sqref="A3"/>
    </sheetView>
  </sheetViews>
  <sheetFormatPr defaultRowHeight="15.75" x14ac:dyDescent="0.25"/>
  <cols>
    <col min="1" max="4" width="24.875" customWidth="1"/>
    <col min="5" max="6" width="41.625" bestFit="1" customWidth="1"/>
    <col min="7" max="8" width="18.625" customWidth="1"/>
    <col min="9" max="10" width="27.5" customWidth="1"/>
    <col min="11" max="12" width="18.625" customWidth="1"/>
    <col min="13" max="13" width="34.25" bestFit="1" customWidth="1"/>
    <col min="14" max="14" width="34.25" customWidth="1"/>
    <col min="15" max="16" width="18.625" customWidth="1"/>
    <col min="17" max="17" width="34.875" bestFit="1" customWidth="1"/>
    <col min="18" max="18" width="34.875" customWidth="1"/>
    <col min="19" max="20" width="19.875" customWidth="1"/>
    <col min="21" max="21" width="36.625" customWidth="1"/>
    <col min="22" max="22" width="36.625" bestFit="1" customWidth="1"/>
    <col min="23" max="23" width="23.125" customWidth="1"/>
    <col min="24" max="24" width="23.125" bestFit="1" customWidth="1"/>
    <col min="25" max="25" width="23.125" customWidth="1"/>
    <col min="26" max="26" width="23.125" bestFit="1" customWidth="1"/>
    <col min="27" max="27" width="39.875" customWidth="1"/>
    <col min="28" max="28" width="39.875" bestFit="1" customWidth="1"/>
    <col min="29" max="29" width="22.25" customWidth="1"/>
    <col min="30" max="30" width="22.25" bestFit="1" customWidth="1"/>
    <col min="31" max="32" width="39.125" bestFit="1" customWidth="1"/>
    <col min="33" max="40" width="18.625" bestFit="1" customWidth="1"/>
    <col min="41" max="42" width="34.875" bestFit="1" customWidth="1"/>
    <col min="43" max="56" width="34.625" bestFit="1" customWidth="1"/>
    <col min="57" max="58" width="51.5" bestFit="1" customWidth="1"/>
    <col min="59" max="64" width="18.625" bestFit="1" customWidth="1"/>
    <col min="65" max="66" width="30.75" bestFit="1" customWidth="1"/>
    <col min="67" max="68" width="23.625" bestFit="1" customWidth="1"/>
    <col min="69" max="69" width="16.875" bestFit="1" customWidth="1"/>
    <col min="70" max="70" width="11.875" bestFit="1" customWidth="1"/>
    <col min="71" max="71" width="16.875" bestFit="1" customWidth="1"/>
    <col min="72" max="72" width="11.875" bestFit="1" customWidth="1"/>
    <col min="73" max="73" width="16.875" bestFit="1" customWidth="1"/>
    <col min="74" max="74" width="11.875" bestFit="1" customWidth="1"/>
    <col min="75" max="75" width="16.875" bestFit="1" customWidth="1"/>
    <col min="76" max="76" width="11.875" bestFit="1" customWidth="1"/>
    <col min="77" max="77" width="16.875" bestFit="1" customWidth="1"/>
    <col min="78" max="78" width="11.875" bestFit="1" customWidth="1"/>
    <col min="79" max="79" width="16.875" bestFit="1" customWidth="1"/>
    <col min="80" max="80" width="11" bestFit="1" customWidth="1"/>
  </cols>
  <sheetData>
    <row r="3" spans="1:68" x14ac:dyDescent="0.25">
      <c r="A3" s="44" t="s">
        <v>103</v>
      </c>
    </row>
    <row r="4" spans="1:68" x14ac:dyDescent="0.25">
      <c r="A4" t="s">
        <v>45</v>
      </c>
      <c r="E4" t="s">
        <v>117</v>
      </c>
      <c r="F4" t="s">
        <v>118</v>
      </c>
      <c r="G4" t="s">
        <v>53</v>
      </c>
      <c r="I4" t="s">
        <v>119</v>
      </c>
      <c r="J4" t="s">
        <v>120</v>
      </c>
      <c r="K4" t="s">
        <v>72</v>
      </c>
      <c r="M4" t="s">
        <v>121</v>
      </c>
      <c r="N4" t="s">
        <v>122</v>
      </c>
      <c r="O4" t="s">
        <v>75</v>
      </c>
      <c r="Q4" t="s">
        <v>123</v>
      </c>
      <c r="R4" t="s">
        <v>124</v>
      </c>
      <c r="S4" t="s">
        <v>20</v>
      </c>
      <c r="U4" t="s">
        <v>125</v>
      </c>
      <c r="V4" t="s">
        <v>126</v>
      </c>
      <c r="W4" t="s">
        <v>63</v>
      </c>
      <c r="AA4" t="s">
        <v>127</v>
      </c>
      <c r="AB4" t="s">
        <v>128</v>
      </c>
      <c r="AC4" t="s">
        <v>16</v>
      </c>
      <c r="AE4" t="s">
        <v>129</v>
      </c>
      <c r="AF4" t="s">
        <v>130</v>
      </c>
      <c r="AG4" t="s">
        <v>23</v>
      </c>
      <c r="AO4" t="s">
        <v>131</v>
      </c>
      <c r="AP4" t="s">
        <v>132</v>
      </c>
      <c r="AQ4" t="s">
        <v>10</v>
      </c>
      <c r="BE4" t="s">
        <v>133</v>
      </c>
      <c r="BF4" t="s">
        <v>134</v>
      </c>
      <c r="BG4" t="s">
        <v>31</v>
      </c>
      <c r="BM4" t="s">
        <v>135</v>
      </c>
      <c r="BN4" t="s">
        <v>136</v>
      </c>
      <c r="BO4" t="s">
        <v>107</v>
      </c>
      <c r="BP4" t="s">
        <v>108</v>
      </c>
    </row>
    <row r="5" spans="1:68" x14ac:dyDescent="0.25">
      <c r="A5" t="s">
        <v>46</v>
      </c>
      <c r="C5" t="s">
        <v>11</v>
      </c>
      <c r="G5" t="s">
        <v>11</v>
      </c>
      <c r="K5" t="s">
        <v>29</v>
      </c>
      <c r="O5" t="s">
        <v>21</v>
      </c>
      <c r="S5" t="s">
        <v>21</v>
      </c>
      <c r="W5" t="s">
        <v>36</v>
      </c>
      <c r="Y5" t="s">
        <v>11</v>
      </c>
      <c r="AC5" t="s">
        <v>11</v>
      </c>
      <c r="AG5" t="s">
        <v>36</v>
      </c>
      <c r="AI5" t="s">
        <v>27</v>
      </c>
      <c r="AK5" t="s">
        <v>11</v>
      </c>
      <c r="AM5" t="s">
        <v>48</v>
      </c>
      <c r="AQ5" t="s">
        <v>42</v>
      </c>
      <c r="AS5" t="s">
        <v>36</v>
      </c>
      <c r="AU5" t="s">
        <v>27</v>
      </c>
      <c r="AW5" t="s">
        <v>29</v>
      </c>
      <c r="AY5" t="s">
        <v>14</v>
      </c>
      <c r="BA5" t="s">
        <v>11</v>
      </c>
      <c r="BC5" t="s">
        <v>34</v>
      </c>
      <c r="BG5" t="s">
        <v>42</v>
      </c>
      <c r="BI5" t="s">
        <v>29</v>
      </c>
      <c r="BK5" t="s">
        <v>11</v>
      </c>
    </row>
    <row r="6" spans="1:68" x14ac:dyDescent="0.25">
      <c r="A6" t="s">
        <v>106</v>
      </c>
      <c r="B6" t="s">
        <v>109</v>
      </c>
      <c r="C6" t="s">
        <v>106</v>
      </c>
      <c r="D6" t="s">
        <v>109</v>
      </c>
      <c r="G6" t="s">
        <v>106</v>
      </c>
      <c r="H6" t="s">
        <v>109</v>
      </c>
      <c r="K6" t="s">
        <v>106</v>
      </c>
      <c r="L6" t="s">
        <v>109</v>
      </c>
      <c r="O6" t="s">
        <v>106</v>
      </c>
      <c r="P6" t="s">
        <v>109</v>
      </c>
      <c r="S6" t="s">
        <v>106</v>
      </c>
      <c r="T6" t="s">
        <v>109</v>
      </c>
      <c r="W6" t="s">
        <v>106</v>
      </c>
      <c r="X6" t="s">
        <v>109</v>
      </c>
      <c r="Y6" t="s">
        <v>106</v>
      </c>
      <c r="Z6" t="s">
        <v>109</v>
      </c>
      <c r="AC6" t="s">
        <v>106</v>
      </c>
      <c r="AD6" t="s">
        <v>109</v>
      </c>
      <c r="AG6" t="s">
        <v>106</v>
      </c>
      <c r="AH6" t="s">
        <v>109</v>
      </c>
      <c r="AI6" t="s">
        <v>106</v>
      </c>
      <c r="AJ6" t="s">
        <v>109</v>
      </c>
      <c r="AK6" t="s">
        <v>106</v>
      </c>
      <c r="AL6" t="s">
        <v>109</v>
      </c>
      <c r="AM6" t="s">
        <v>106</v>
      </c>
      <c r="AN6" t="s">
        <v>109</v>
      </c>
      <c r="AQ6" t="s">
        <v>106</v>
      </c>
      <c r="AR6" t="s">
        <v>109</v>
      </c>
      <c r="AS6" t="s">
        <v>106</v>
      </c>
      <c r="AT6" t="s">
        <v>109</v>
      </c>
      <c r="AU6" t="s">
        <v>106</v>
      </c>
      <c r="AV6" t="s">
        <v>109</v>
      </c>
      <c r="AW6" t="s">
        <v>106</v>
      </c>
      <c r="AX6" t="s">
        <v>109</v>
      </c>
      <c r="AY6" t="s">
        <v>106</v>
      </c>
      <c r="AZ6" t="s">
        <v>109</v>
      </c>
      <c r="BA6" t="s">
        <v>106</v>
      </c>
      <c r="BB6" t="s">
        <v>109</v>
      </c>
      <c r="BC6" t="s">
        <v>106</v>
      </c>
      <c r="BD6" t="s">
        <v>109</v>
      </c>
      <c r="BG6" t="s">
        <v>106</v>
      </c>
      <c r="BH6" t="s">
        <v>109</v>
      </c>
      <c r="BI6" t="s">
        <v>106</v>
      </c>
      <c r="BJ6" t="s">
        <v>109</v>
      </c>
      <c r="BK6" t="s">
        <v>106</v>
      </c>
      <c r="BL6" t="s">
        <v>109</v>
      </c>
    </row>
    <row r="7" spans="1:68" x14ac:dyDescent="0.25">
      <c r="A7" s="45">
        <v>150000000</v>
      </c>
      <c r="B7" s="45">
        <v>441000000</v>
      </c>
      <c r="C7" s="45">
        <v>200000000</v>
      </c>
      <c r="D7" s="45">
        <v>402000000</v>
      </c>
      <c r="E7" s="45">
        <v>350000000</v>
      </c>
      <c r="F7" s="45">
        <v>843000000</v>
      </c>
      <c r="G7" s="45">
        <v>208000000</v>
      </c>
      <c r="H7" s="45">
        <v>833000000</v>
      </c>
      <c r="I7" s="45">
        <v>208000000</v>
      </c>
      <c r="J7" s="45">
        <v>833000000</v>
      </c>
      <c r="K7" s="45">
        <v>94000000</v>
      </c>
      <c r="L7" s="45">
        <v>377000000</v>
      </c>
      <c r="M7" s="45">
        <v>94000000</v>
      </c>
      <c r="N7" s="45">
        <v>377000000</v>
      </c>
      <c r="O7" s="45">
        <v>30000000</v>
      </c>
      <c r="P7" s="45">
        <v>370000000</v>
      </c>
      <c r="Q7" s="45">
        <v>30000000</v>
      </c>
      <c r="R7" s="45">
        <v>370000000</v>
      </c>
      <c r="S7" s="45">
        <v>200000000</v>
      </c>
      <c r="T7" s="45">
        <v>601000000</v>
      </c>
      <c r="U7" s="45">
        <v>200000000</v>
      </c>
      <c r="V7" s="45">
        <v>601000000</v>
      </c>
      <c r="W7" s="45">
        <v>90000000</v>
      </c>
      <c r="X7" s="45">
        <v>405000000</v>
      </c>
      <c r="Y7" s="45">
        <v>499000000</v>
      </c>
      <c r="Z7" s="45">
        <v>1169000000</v>
      </c>
      <c r="AA7" s="45">
        <v>589000000</v>
      </c>
      <c r="AB7" s="45">
        <v>1574000000</v>
      </c>
      <c r="AC7" s="45">
        <v>476000000</v>
      </c>
      <c r="AD7" s="45">
        <v>1868000000</v>
      </c>
      <c r="AE7" s="45">
        <v>476000000</v>
      </c>
      <c r="AF7" s="45">
        <v>1868000000</v>
      </c>
      <c r="AG7" s="45">
        <v>75000000</v>
      </c>
      <c r="AH7" s="45">
        <v>368000000</v>
      </c>
      <c r="AI7" s="45">
        <v>76000000</v>
      </c>
      <c r="AJ7" s="45">
        <v>368000000</v>
      </c>
      <c r="AK7" s="45">
        <v>383000000</v>
      </c>
      <c r="AL7" s="45">
        <v>1427000000</v>
      </c>
      <c r="AM7" s="45">
        <v>11000000</v>
      </c>
      <c r="AN7" s="45">
        <v>359000000</v>
      </c>
      <c r="AO7" s="45">
        <v>545000000</v>
      </c>
      <c r="AP7" s="45">
        <v>2522000000</v>
      </c>
      <c r="AQ7" s="45">
        <v>225000000</v>
      </c>
      <c r="AR7" s="45">
        <v>423000000</v>
      </c>
      <c r="AS7" s="45">
        <v>994000000</v>
      </c>
      <c r="AT7" s="45">
        <v>2553000000</v>
      </c>
      <c r="AU7" s="45">
        <v>400000000</v>
      </c>
      <c r="AV7" s="45">
        <v>999000000</v>
      </c>
      <c r="AW7" s="45">
        <v>480000000</v>
      </c>
      <c r="AX7" s="45">
        <v>960000000</v>
      </c>
      <c r="AY7" s="45">
        <v>356000000</v>
      </c>
      <c r="AZ7" s="45">
        <v>858000000</v>
      </c>
      <c r="BA7" s="45">
        <v>2390000000</v>
      </c>
      <c r="BB7" s="45">
        <v>5372013994</v>
      </c>
      <c r="BC7" s="45">
        <v>160000000</v>
      </c>
      <c r="BD7" s="45">
        <v>504000000</v>
      </c>
      <c r="BE7" s="45">
        <v>5005000000</v>
      </c>
      <c r="BF7" s="45">
        <v>11669013994</v>
      </c>
      <c r="BG7" s="45">
        <v>250000000</v>
      </c>
      <c r="BH7" s="45">
        <v>448000000</v>
      </c>
      <c r="BI7" s="45">
        <v>435000000</v>
      </c>
      <c r="BJ7" s="45">
        <v>914000000</v>
      </c>
      <c r="BK7" s="45">
        <v>149000000</v>
      </c>
      <c r="BL7" s="45">
        <v>413000000</v>
      </c>
      <c r="BM7" s="45">
        <v>834000000</v>
      </c>
      <c r="BN7" s="45">
        <v>1775000000</v>
      </c>
      <c r="BO7" s="45">
        <v>8331000000</v>
      </c>
      <c r="BP7" s="45">
        <v>22432013994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opLeftCell="D35" workbookViewId="0">
      <selection activeCell="G59" sqref="G52:G59"/>
    </sheetView>
  </sheetViews>
  <sheetFormatPr defaultColWidth="11" defaultRowHeight="15.75" x14ac:dyDescent="0.25"/>
  <cols>
    <col min="1" max="1" width="39" style="16" bestFit="1" customWidth="1"/>
    <col min="2" max="2" width="10.875" style="1"/>
    <col min="3" max="3" width="31.375" bestFit="1" customWidth="1"/>
    <col min="4" max="5" width="10.875" style="1"/>
    <col min="6" max="7" width="14.625" style="1" bestFit="1" customWidth="1"/>
    <col min="8" max="8" width="11.625" style="1" bestFit="1" customWidth="1"/>
    <col min="9" max="9" width="10.625" style="1" bestFit="1" customWidth="1"/>
    <col min="10" max="10" width="7.625" customWidth="1"/>
    <col min="11" max="11" width="7.5" customWidth="1"/>
    <col min="12" max="13" width="7.625" customWidth="1"/>
    <col min="16" max="16" width="15.125" customWidth="1"/>
    <col min="17" max="17" width="13.375" customWidth="1"/>
    <col min="18" max="18" width="13.625" customWidth="1"/>
    <col min="19" max="19" width="14.125" customWidth="1"/>
    <col min="20" max="20" width="12.75" customWidth="1"/>
  </cols>
  <sheetData>
    <row r="1" spans="1:20" ht="48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3" t="s">
        <v>7</v>
      </c>
      <c r="I1" s="28" t="s">
        <v>8</v>
      </c>
      <c r="J1" s="42"/>
      <c r="K1" s="42"/>
      <c r="L1" s="42"/>
      <c r="M1" s="42"/>
      <c r="N1" s="42"/>
      <c r="O1" s="42"/>
      <c r="P1" t="s">
        <v>91</v>
      </c>
      <c r="Q1" t="s">
        <v>48</v>
      </c>
      <c r="R1" t="s">
        <v>21</v>
      </c>
      <c r="S1" t="s">
        <v>89</v>
      </c>
      <c r="T1" t="s">
        <v>34</v>
      </c>
    </row>
    <row r="2" spans="1:20" x14ac:dyDescent="0.25">
      <c r="A2" s="12" t="s">
        <v>9</v>
      </c>
      <c r="B2" s="17">
        <v>2015</v>
      </c>
      <c r="C2" s="3" t="s">
        <v>10</v>
      </c>
      <c r="D2" s="8" t="s">
        <v>11</v>
      </c>
      <c r="E2" s="8" t="s">
        <v>12</v>
      </c>
      <c r="F2" s="20">
        <v>245000000</v>
      </c>
      <c r="G2" s="20">
        <v>937000000</v>
      </c>
      <c r="H2" s="24">
        <f t="shared" ref="H2:H33" si="0">G2/F2</f>
        <v>3.8244897959183675</v>
      </c>
      <c r="I2" s="29">
        <f t="shared" ref="I2:I33" si="1">(G2-F2)/F2</f>
        <v>2.8244897959183675</v>
      </c>
      <c r="J2" s="42" t="s">
        <v>42</v>
      </c>
      <c r="K2" s="42" t="s">
        <v>48</v>
      </c>
      <c r="L2" s="42"/>
      <c r="M2" s="42"/>
      <c r="N2" s="42"/>
      <c r="O2" s="42">
        <f>COUNTIF(D2:D51,"*AA*")</f>
        <v>46</v>
      </c>
      <c r="P2" s="43">
        <f>G2-F2</f>
        <v>692000000</v>
      </c>
      <c r="Q2" s="43">
        <f>G2-F2</f>
        <v>692000000</v>
      </c>
    </row>
    <row r="3" spans="1:20" x14ac:dyDescent="0.25">
      <c r="A3" s="13" t="s">
        <v>13</v>
      </c>
      <c r="B3" s="18">
        <v>2019</v>
      </c>
      <c r="C3" s="2" t="s">
        <v>10</v>
      </c>
      <c r="D3" s="9" t="s">
        <v>14</v>
      </c>
      <c r="E3" s="9" t="s">
        <v>12</v>
      </c>
      <c r="F3" s="21">
        <v>356000000</v>
      </c>
      <c r="G3" s="21">
        <v>858000000</v>
      </c>
      <c r="H3" s="25">
        <f t="shared" si="0"/>
        <v>2.4101123595505616</v>
      </c>
      <c r="I3" s="25">
        <f t="shared" si="1"/>
        <v>1.4101123595505618</v>
      </c>
      <c r="J3" s="42" t="s">
        <v>42</v>
      </c>
      <c r="K3" s="42" t="s">
        <v>48</v>
      </c>
      <c r="L3" s="42" t="s">
        <v>21</v>
      </c>
      <c r="M3" s="42"/>
      <c r="N3" s="42"/>
      <c r="O3" s="42">
        <f>COUNTIF(D2:D52,"*SF*")</f>
        <v>30</v>
      </c>
      <c r="P3" s="43">
        <f t="shared" ref="P3:P51" si="2">G3-F3</f>
        <v>502000000</v>
      </c>
      <c r="Q3" s="43">
        <f t="shared" ref="Q3:Q6" si="3">G3-F3</f>
        <v>502000000</v>
      </c>
      <c r="R3" s="43">
        <f>G3-F3</f>
        <v>502000000</v>
      </c>
    </row>
    <row r="4" spans="1:20" x14ac:dyDescent="0.25">
      <c r="A4" s="13" t="s">
        <v>15</v>
      </c>
      <c r="B4" s="18">
        <v>2009</v>
      </c>
      <c r="C4" s="2" t="s">
        <v>16</v>
      </c>
      <c r="D4" s="9" t="s">
        <v>11</v>
      </c>
      <c r="E4" s="9" t="s">
        <v>12</v>
      </c>
      <c r="F4" s="21">
        <v>237000000</v>
      </c>
      <c r="G4" s="21">
        <v>750000000</v>
      </c>
      <c r="H4" s="25">
        <f t="shared" si="0"/>
        <v>3.1645569620253164</v>
      </c>
      <c r="I4" s="25">
        <f t="shared" si="1"/>
        <v>2.1645569620253164</v>
      </c>
      <c r="J4" s="42" t="s">
        <v>42</v>
      </c>
      <c r="K4" s="42" t="s">
        <v>48</v>
      </c>
      <c r="L4" s="42"/>
      <c r="M4" s="42"/>
      <c r="N4" s="42"/>
      <c r="O4" s="42">
        <f>COUNTIF(D2:D53,"*D*")</f>
        <v>9</v>
      </c>
      <c r="P4" s="43">
        <f t="shared" si="2"/>
        <v>513000000</v>
      </c>
      <c r="Q4" s="43">
        <f t="shared" si="3"/>
        <v>513000000</v>
      </c>
    </row>
    <row r="5" spans="1:20" x14ac:dyDescent="0.25">
      <c r="A5" s="13" t="s">
        <v>17</v>
      </c>
      <c r="B5" s="18">
        <v>2018</v>
      </c>
      <c r="C5" s="2" t="s">
        <v>10</v>
      </c>
      <c r="D5" s="9" t="s">
        <v>11</v>
      </c>
      <c r="E5" s="9" t="s">
        <v>12</v>
      </c>
      <c r="F5" s="21">
        <v>202000000</v>
      </c>
      <c r="G5" s="21">
        <v>700000000</v>
      </c>
      <c r="H5" s="25">
        <f t="shared" si="0"/>
        <v>3.4653465346534653</v>
      </c>
      <c r="I5" s="25">
        <f t="shared" si="1"/>
        <v>2.4653465346534653</v>
      </c>
      <c r="J5" s="42" t="s">
        <v>42</v>
      </c>
      <c r="K5" s="42" t="s">
        <v>48</v>
      </c>
      <c r="L5" s="42"/>
      <c r="M5" s="42"/>
      <c r="N5" s="42"/>
      <c r="O5" s="42">
        <f>COUNTIF(D2:D54,"*C*")</f>
        <v>12</v>
      </c>
      <c r="P5" s="43">
        <f t="shared" si="2"/>
        <v>498000000</v>
      </c>
      <c r="Q5" s="43">
        <f t="shared" si="3"/>
        <v>498000000</v>
      </c>
    </row>
    <row r="6" spans="1:20" x14ac:dyDescent="0.25">
      <c r="A6" s="13" t="s">
        <v>18</v>
      </c>
      <c r="B6" s="18">
        <v>2018</v>
      </c>
      <c r="C6" s="2" t="s">
        <v>10</v>
      </c>
      <c r="D6" s="9" t="s">
        <v>11</v>
      </c>
      <c r="E6" s="9" t="s">
        <v>12</v>
      </c>
      <c r="F6" s="21">
        <v>316000000</v>
      </c>
      <c r="G6" s="21">
        <v>679000000</v>
      </c>
      <c r="H6" s="25">
        <f t="shared" si="0"/>
        <v>2.1487341772151898</v>
      </c>
      <c r="I6" s="25">
        <f t="shared" si="1"/>
        <v>1.1487341772151898</v>
      </c>
      <c r="J6" s="42" t="s">
        <v>42</v>
      </c>
      <c r="K6" s="42" t="s">
        <v>48</v>
      </c>
      <c r="L6" s="42"/>
      <c r="M6" s="42"/>
      <c r="N6" s="42"/>
      <c r="O6" s="42">
        <f>COUNTIF(D2:D55,"*R*")</f>
        <v>2</v>
      </c>
      <c r="P6" s="43">
        <f t="shared" si="2"/>
        <v>363000000</v>
      </c>
      <c r="Q6" s="43">
        <f t="shared" si="3"/>
        <v>363000000</v>
      </c>
    </row>
    <row r="7" spans="1:20" x14ac:dyDescent="0.25">
      <c r="A7" s="13" t="s">
        <v>19</v>
      </c>
      <c r="B7" s="18">
        <v>1997</v>
      </c>
      <c r="C7" s="2" t="s">
        <v>20</v>
      </c>
      <c r="D7" s="9" t="s">
        <v>21</v>
      </c>
      <c r="E7" s="9" t="s">
        <v>12</v>
      </c>
      <c r="F7" s="21">
        <v>200000000</v>
      </c>
      <c r="G7" s="21">
        <v>601000000</v>
      </c>
      <c r="H7" s="25">
        <f t="shared" si="0"/>
        <v>3.0049999999999999</v>
      </c>
      <c r="I7" s="25">
        <f t="shared" si="1"/>
        <v>2.0049999999999999</v>
      </c>
      <c r="J7" s="42"/>
      <c r="K7" s="42"/>
      <c r="L7" s="42" t="s">
        <v>21</v>
      </c>
      <c r="M7" s="42"/>
      <c r="N7" s="42"/>
      <c r="O7" s="42"/>
      <c r="P7" s="43"/>
      <c r="R7" s="43">
        <f>G7-F7</f>
        <v>401000000</v>
      </c>
    </row>
    <row r="8" spans="1:20" x14ac:dyDescent="0.25">
      <c r="A8" s="13" t="s">
        <v>22</v>
      </c>
      <c r="B8" s="18">
        <v>2015</v>
      </c>
      <c r="C8" s="2" t="s">
        <v>23</v>
      </c>
      <c r="D8" s="9" t="s">
        <v>11</v>
      </c>
      <c r="E8" s="9" t="s">
        <v>12</v>
      </c>
      <c r="F8" s="21">
        <v>150000000</v>
      </c>
      <c r="G8" s="21">
        <v>652000000</v>
      </c>
      <c r="H8" s="25">
        <f t="shared" si="0"/>
        <v>4.3466666666666667</v>
      </c>
      <c r="I8" s="25">
        <f t="shared" si="1"/>
        <v>3.3466666666666667</v>
      </c>
      <c r="J8" s="42" t="s">
        <v>42</v>
      </c>
      <c r="K8" s="42" t="s">
        <v>48</v>
      </c>
      <c r="L8" s="42"/>
      <c r="M8" s="42"/>
      <c r="N8" s="42"/>
      <c r="O8" s="42"/>
      <c r="P8" s="43">
        <f t="shared" si="2"/>
        <v>502000000</v>
      </c>
      <c r="Q8" s="43">
        <f>G8-F8</f>
        <v>502000000</v>
      </c>
    </row>
    <row r="9" spans="1:20" x14ac:dyDescent="0.25">
      <c r="A9" s="13" t="s">
        <v>24</v>
      </c>
      <c r="B9" s="18">
        <v>2012</v>
      </c>
      <c r="C9" s="2" t="s">
        <v>10</v>
      </c>
      <c r="D9" s="9" t="s">
        <v>11</v>
      </c>
      <c r="E9" s="9" t="s">
        <v>12</v>
      </c>
      <c r="F9" s="21">
        <v>220000000</v>
      </c>
      <c r="G9" s="21">
        <v>623000000</v>
      </c>
      <c r="H9" s="25">
        <f t="shared" si="0"/>
        <v>2.831818181818182</v>
      </c>
      <c r="I9" s="25">
        <f t="shared" si="1"/>
        <v>1.8318181818181818</v>
      </c>
      <c r="J9" s="42" t="s">
        <v>42</v>
      </c>
      <c r="K9" s="42" t="s">
        <v>48</v>
      </c>
      <c r="L9" s="42"/>
      <c r="M9" s="42"/>
      <c r="N9" s="42"/>
      <c r="O9" s="42"/>
      <c r="P9" s="43">
        <f t="shared" si="2"/>
        <v>403000000</v>
      </c>
      <c r="Q9" s="43">
        <f t="shared" ref="Q9:Q11" si="4">G9-F9</f>
        <v>403000000</v>
      </c>
    </row>
    <row r="10" spans="1:20" x14ac:dyDescent="0.25">
      <c r="A10" s="13" t="s">
        <v>25</v>
      </c>
      <c r="B10" s="18">
        <v>2017</v>
      </c>
      <c r="C10" s="2" t="s">
        <v>10</v>
      </c>
      <c r="D10" s="9" t="s">
        <v>11</v>
      </c>
      <c r="E10" s="9" t="s">
        <v>12</v>
      </c>
      <c r="F10" s="21">
        <v>317000000</v>
      </c>
      <c r="G10" s="21">
        <v>620000000</v>
      </c>
      <c r="H10" s="25">
        <f t="shared" si="0"/>
        <v>1.9558359621451105</v>
      </c>
      <c r="I10" s="25">
        <f t="shared" si="1"/>
        <v>0.95583596214511046</v>
      </c>
      <c r="J10" s="42" t="s">
        <v>42</v>
      </c>
      <c r="K10" s="42" t="s">
        <v>48</v>
      </c>
      <c r="L10" s="42"/>
      <c r="M10" s="42"/>
      <c r="N10" s="42"/>
      <c r="O10" s="42"/>
      <c r="P10" s="43">
        <f t="shared" si="2"/>
        <v>303000000</v>
      </c>
      <c r="Q10" s="43">
        <f t="shared" si="4"/>
        <v>303000000</v>
      </c>
    </row>
    <row r="11" spans="1:20" x14ac:dyDescent="0.25">
      <c r="A11" s="13" t="s">
        <v>26</v>
      </c>
      <c r="B11" s="9">
        <v>2018</v>
      </c>
      <c r="C11" s="2" t="s">
        <v>10</v>
      </c>
      <c r="D11" s="9" t="s">
        <v>27</v>
      </c>
      <c r="E11" s="9" t="s">
        <v>12</v>
      </c>
      <c r="F11" s="21">
        <v>200000000</v>
      </c>
      <c r="G11" s="21">
        <v>609000000</v>
      </c>
      <c r="H11" s="25">
        <f t="shared" si="0"/>
        <v>3.0449999999999999</v>
      </c>
      <c r="I11" s="25">
        <f t="shared" si="1"/>
        <v>2.0449999999999999</v>
      </c>
      <c r="J11" s="42" t="s">
        <v>42</v>
      </c>
      <c r="K11" s="42" t="s">
        <v>48</v>
      </c>
      <c r="L11" s="42"/>
      <c r="M11" s="42" t="s">
        <v>89</v>
      </c>
      <c r="N11" s="42"/>
      <c r="O11" s="42"/>
      <c r="P11" s="43">
        <f t="shared" si="2"/>
        <v>409000000</v>
      </c>
      <c r="Q11" s="43">
        <f t="shared" si="4"/>
        <v>409000000</v>
      </c>
      <c r="S11" s="43">
        <f>Q11</f>
        <v>409000000</v>
      </c>
    </row>
    <row r="12" spans="1:20" x14ac:dyDescent="0.25">
      <c r="A12" s="13" t="s">
        <v>55</v>
      </c>
      <c r="B12" s="9">
        <v>2019</v>
      </c>
      <c r="C12" s="2" t="s">
        <v>10</v>
      </c>
      <c r="D12" s="9" t="s">
        <v>29</v>
      </c>
      <c r="E12" s="9" t="s">
        <v>112</v>
      </c>
      <c r="F12" s="21">
        <v>260000000</v>
      </c>
      <c r="G12" s="21">
        <v>544000000</v>
      </c>
      <c r="H12" s="25">
        <f t="shared" si="0"/>
        <v>2.0923076923076924</v>
      </c>
      <c r="I12" s="25">
        <f t="shared" si="1"/>
        <v>1.0923076923076922</v>
      </c>
      <c r="J12" s="42" t="s">
        <v>42</v>
      </c>
      <c r="K12" s="42"/>
      <c r="L12" s="42" t="s">
        <v>21</v>
      </c>
      <c r="M12" s="42"/>
      <c r="N12" s="42"/>
      <c r="O12" s="42"/>
      <c r="P12" s="43">
        <f t="shared" si="2"/>
        <v>284000000</v>
      </c>
      <c r="R12" s="43">
        <f>P12</f>
        <v>284000000</v>
      </c>
    </row>
    <row r="13" spans="1:20" x14ac:dyDescent="0.25">
      <c r="A13" s="13" t="s">
        <v>30</v>
      </c>
      <c r="B13" s="9">
        <v>2008</v>
      </c>
      <c r="C13" s="2" t="s">
        <v>31</v>
      </c>
      <c r="D13" s="9" t="s">
        <v>29</v>
      </c>
      <c r="E13" s="9" t="s">
        <v>12</v>
      </c>
      <c r="F13" s="21">
        <v>185000000</v>
      </c>
      <c r="G13" s="21">
        <v>533000000</v>
      </c>
      <c r="H13" s="25">
        <f t="shared" si="0"/>
        <v>2.881081081081081</v>
      </c>
      <c r="I13" s="25">
        <f t="shared" si="1"/>
        <v>1.8810810810810812</v>
      </c>
      <c r="J13" s="42" t="s">
        <v>42</v>
      </c>
      <c r="K13" s="42"/>
      <c r="L13" s="42" t="s">
        <v>21</v>
      </c>
      <c r="M13" s="42"/>
      <c r="N13" s="42"/>
      <c r="O13" s="42"/>
      <c r="P13" s="43">
        <f t="shared" si="2"/>
        <v>348000000</v>
      </c>
      <c r="R13" s="43">
        <f>P13</f>
        <v>348000000</v>
      </c>
    </row>
    <row r="14" spans="1:20" x14ac:dyDescent="0.25">
      <c r="A14" s="13" t="s">
        <v>32</v>
      </c>
      <c r="B14" s="9">
        <v>2016</v>
      </c>
      <c r="C14" s="2" t="s">
        <v>10</v>
      </c>
      <c r="D14" s="9" t="s">
        <v>11</v>
      </c>
      <c r="E14" s="9" t="s">
        <v>12</v>
      </c>
      <c r="F14" s="21">
        <v>200000000</v>
      </c>
      <c r="G14" s="21">
        <v>532000000</v>
      </c>
      <c r="H14" s="9">
        <f t="shared" si="0"/>
        <v>2.66</v>
      </c>
      <c r="I14" s="9">
        <f t="shared" si="1"/>
        <v>1.66</v>
      </c>
      <c r="J14" s="42" t="s">
        <v>42</v>
      </c>
      <c r="K14" s="42" t="s">
        <v>48</v>
      </c>
      <c r="L14" s="42"/>
      <c r="M14" s="42"/>
      <c r="N14" s="42"/>
      <c r="O14" s="42"/>
      <c r="P14" s="43">
        <f t="shared" si="2"/>
        <v>332000000</v>
      </c>
      <c r="Q14" s="43">
        <f>G14-F14</f>
        <v>332000000</v>
      </c>
    </row>
    <row r="15" spans="1:20" x14ac:dyDescent="0.25">
      <c r="A15" s="14" t="s">
        <v>43</v>
      </c>
      <c r="B15" s="10">
        <v>2019</v>
      </c>
      <c r="C15" s="6" t="s">
        <v>10</v>
      </c>
      <c r="D15" s="10" t="s">
        <v>11</v>
      </c>
      <c r="E15" s="10" t="s">
        <v>12</v>
      </c>
      <c r="F15" s="22">
        <v>275000000</v>
      </c>
      <c r="G15" s="22">
        <v>515000000</v>
      </c>
      <c r="H15" s="26">
        <f t="shared" si="0"/>
        <v>1.8727272727272728</v>
      </c>
      <c r="I15" s="26">
        <f t="shared" si="1"/>
        <v>0.87272727272727268</v>
      </c>
      <c r="J15" s="42" t="s">
        <v>42</v>
      </c>
      <c r="K15" s="42" t="s">
        <v>48</v>
      </c>
      <c r="L15" s="42"/>
      <c r="M15" s="42"/>
      <c r="N15" s="42"/>
      <c r="O15" s="42"/>
      <c r="P15" s="43">
        <f t="shared" si="2"/>
        <v>240000000</v>
      </c>
      <c r="Q15" s="43">
        <f>G15-F15</f>
        <v>240000000</v>
      </c>
    </row>
    <row r="16" spans="1:20" x14ac:dyDescent="0.25">
      <c r="A16" s="13" t="s">
        <v>33</v>
      </c>
      <c r="B16" s="9">
        <v>2017</v>
      </c>
      <c r="C16" s="2" t="s">
        <v>10</v>
      </c>
      <c r="D16" s="9" t="s">
        <v>34</v>
      </c>
      <c r="E16" s="9" t="s">
        <v>113</v>
      </c>
      <c r="F16" s="21">
        <v>160000000</v>
      </c>
      <c r="G16" s="21">
        <v>504000000</v>
      </c>
      <c r="H16" s="9">
        <f t="shared" si="0"/>
        <v>3.15</v>
      </c>
      <c r="I16" s="9">
        <f t="shared" si="1"/>
        <v>2.15</v>
      </c>
      <c r="J16" s="42"/>
      <c r="K16" s="42"/>
      <c r="L16" s="42"/>
      <c r="M16" s="42"/>
      <c r="N16" s="42" t="s">
        <v>34</v>
      </c>
      <c r="O16" s="42"/>
      <c r="P16" s="43"/>
      <c r="T16" s="43">
        <f>G16-F16</f>
        <v>344000000</v>
      </c>
    </row>
    <row r="17" spans="1:20" x14ac:dyDescent="0.25">
      <c r="A17" s="13" t="s">
        <v>35</v>
      </c>
      <c r="B17" s="9">
        <v>2016</v>
      </c>
      <c r="C17" s="2" t="s">
        <v>10</v>
      </c>
      <c r="D17" s="9" t="s">
        <v>36</v>
      </c>
      <c r="E17" s="9" t="s">
        <v>113</v>
      </c>
      <c r="F17" s="21">
        <v>200000000</v>
      </c>
      <c r="G17" s="21">
        <v>486000000</v>
      </c>
      <c r="H17" s="9">
        <f t="shared" si="0"/>
        <v>2.4300000000000002</v>
      </c>
      <c r="I17" s="9">
        <f t="shared" si="1"/>
        <v>1.43</v>
      </c>
      <c r="J17" s="42" t="s">
        <v>42</v>
      </c>
      <c r="K17" s="42"/>
      <c r="L17" s="42"/>
      <c r="M17" s="42" t="s">
        <v>89</v>
      </c>
      <c r="N17" s="42"/>
      <c r="O17" s="42"/>
      <c r="P17" s="43">
        <f>S17</f>
        <v>286000000</v>
      </c>
      <c r="S17" s="43">
        <f>G17-F17</f>
        <v>286000000</v>
      </c>
    </row>
    <row r="18" spans="1:20" x14ac:dyDescent="0.25">
      <c r="A18" s="13" t="s">
        <v>37</v>
      </c>
      <c r="B18" s="9">
        <v>2019</v>
      </c>
      <c r="C18" s="2" t="s">
        <v>10</v>
      </c>
      <c r="D18" s="9" t="s">
        <v>36</v>
      </c>
      <c r="E18" s="9" t="s">
        <v>113</v>
      </c>
      <c r="F18" s="21">
        <v>150000000</v>
      </c>
      <c r="G18" s="21">
        <v>477000000</v>
      </c>
      <c r="H18" s="9">
        <f t="shared" si="0"/>
        <v>3.18</v>
      </c>
      <c r="I18" s="9">
        <f t="shared" si="1"/>
        <v>2.1800000000000002</v>
      </c>
      <c r="J18" s="42" t="s">
        <v>42</v>
      </c>
      <c r="K18" s="42"/>
      <c r="L18" s="42"/>
      <c r="M18" s="42" t="s">
        <v>89</v>
      </c>
      <c r="N18" s="42"/>
      <c r="O18" s="42"/>
      <c r="P18" s="43">
        <f>S18</f>
        <v>327000000</v>
      </c>
      <c r="S18" s="43">
        <f>G18-F18</f>
        <v>327000000</v>
      </c>
    </row>
    <row r="19" spans="1:20" x14ac:dyDescent="0.25">
      <c r="A19" s="13" t="s">
        <v>38</v>
      </c>
      <c r="B19" s="9">
        <v>1999</v>
      </c>
      <c r="C19" s="2" t="s">
        <v>16</v>
      </c>
      <c r="D19" s="9" t="s">
        <v>11</v>
      </c>
      <c r="E19" s="9" t="s">
        <v>113</v>
      </c>
      <c r="F19" s="21">
        <v>115000000</v>
      </c>
      <c r="G19" s="21">
        <v>431000000</v>
      </c>
      <c r="H19" s="25">
        <f t="shared" si="0"/>
        <v>3.7478260869565219</v>
      </c>
      <c r="I19" s="25">
        <f t="shared" si="1"/>
        <v>2.7478260869565219</v>
      </c>
      <c r="J19" s="42" t="s">
        <v>42</v>
      </c>
      <c r="K19" s="42" t="s">
        <v>48</v>
      </c>
      <c r="L19" s="42"/>
      <c r="M19" s="42"/>
      <c r="N19" s="42"/>
      <c r="O19" s="42"/>
      <c r="P19" s="43">
        <f t="shared" si="2"/>
        <v>316000000</v>
      </c>
      <c r="Q19" s="43">
        <f>G19-F19</f>
        <v>316000000</v>
      </c>
    </row>
    <row r="20" spans="1:20" x14ac:dyDescent="0.25">
      <c r="A20" s="13" t="s">
        <v>39</v>
      </c>
      <c r="B20" s="9">
        <v>1977</v>
      </c>
      <c r="C20" s="2" t="s">
        <v>16</v>
      </c>
      <c r="D20" s="9" t="s">
        <v>11</v>
      </c>
      <c r="E20" s="9" t="s">
        <v>113</v>
      </c>
      <c r="F20" s="21">
        <v>11000000</v>
      </c>
      <c r="G20" s="21">
        <v>307000000</v>
      </c>
      <c r="H20" s="25">
        <f t="shared" si="0"/>
        <v>27.90909090909091</v>
      </c>
      <c r="I20" s="25">
        <f t="shared" si="1"/>
        <v>26.90909090909091</v>
      </c>
      <c r="J20" s="42" t="s">
        <v>42</v>
      </c>
      <c r="K20" s="42" t="s">
        <v>48</v>
      </c>
      <c r="L20" s="42"/>
      <c r="M20" s="42"/>
      <c r="N20" s="42"/>
      <c r="O20" s="42"/>
      <c r="P20" s="43">
        <f t="shared" si="2"/>
        <v>296000000</v>
      </c>
      <c r="Q20" s="43">
        <f t="shared" ref="Q20:Q21" si="5">G20-F20</f>
        <v>296000000</v>
      </c>
    </row>
    <row r="21" spans="1:20" x14ac:dyDescent="0.25">
      <c r="A21" s="13" t="s">
        <v>40</v>
      </c>
      <c r="B21" s="9">
        <v>2015</v>
      </c>
      <c r="C21" s="2" t="s">
        <v>10</v>
      </c>
      <c r="D21" s="9" t="s">
        <v>11</v>
      </c>
      <c r="E21" s="9" t="s">
        <v>12</v>
      </c>
      <c r="F21" s="21">
        <v>250000000</v>
      </c>
      <c r="G21" s="21">
        <v>459000000</v>
      </c>
      <c r="H21" s="25">
        <f t="shared" si="0"/>
        <v>1.8360000000000001</v>
      </c>
      <c r="I21" s="25">
        <f t="shared" si="1"/>
        <v>0.83599999999999997</v>
      </c>
      <c r="J21" s="42" t="s">
        <v>42</v>
      </c>
      <c r="K21" s="42" t="s">
        <v>48</v>
      </c>
      <c r="L21" s="42"/>
      <c r="M21" s="42"/>
      <c r="N21" s="42"/>
      <c r="O21" s="42"/>
      <c r="P21" s="43">
        <f t="shared" si="2"/>
        <v>209000000</v>
      </c>
      <c r="Q21" s="43">
        <f t="shared" si="5"/>
        <v>209000000</v>
      </c>
    </row>
    <row r="22" spans="1:20" x14ac:dyDescent="0.25">
      <c r="A22" s="13" t="s">
        <v>41</v>
      </c>
      <c r="B22" s="9">
        <v>2012</v>
      </c>
      <c r="C22" s="2" t="s">
        <v>31</v>
      </c>
      <c r="D22" s="9" t="s">
        <v>42</v>
      </c>
      <c r="E22" s="9" t="s">
        <v>12</v>
      </c>
      <c r="F22" s="21">
        <v>250000000</v>
      </c>
      <c r="G22" s="21">
        <v>448000000</v>
      </c>
      <c r="H22" s="25">
        <f t="shared" si="0"/>
        <v>1.792</v>
      </c>
      <c r="I22" s="25">
        <f t="shared" si="1"/>
        <v>0.79200000000000004</v>
      </c>
      <c r="J22" s="42" t="s">
        <v>42</v>
      </c>
      <c r="K22" s="42"/>
      <c r="L22" s="42"/>
      <c r="M22" s="42"/>
      <c r="N22" s="42"/>
      <c r="O22" s="42"/>
      <c r="P22" s="43">
        <f t="shared" si="2"/>
        <v>198000000</v>
      </c>
    </row>
    <row r="23" spans="1:20" x14ac:dyDescent="0.25">
      <c r="A23" s="13" t="s">
        <v>44</v>
      </c>
      <c r="B23" s="9">
        <v>2004</v>
      </c>
      <c r="C23" s="2" t="s">
        <v>45</v>
      </c>
      <c r="D23" s="9" t="s">
        <v>46</v>
      </c>
      <c r="E23" s="9" t="s">
        <v>113</v>
      </c>
      <c r="F23" s="21">
        <v>150000000</v>
      </c>
      <c r="G23" s="21">
        <v>441000000</v>
      </c>
      <c r="H23" s="25">
        <f t="shared" si="0"/>
        <v>2.94</v>
      </c>
      <c r="I23" s="25">
        <f t="shared" si="1"/>
        <v>1.94</v>
      </c>
      <c r="J23" s="42" t="s">
        <v>42</v>
      </c>
      <c r="K23" s="42"/>
      <c r="L23" s="42"/>
      <c r="M23" s="42" t="s">
        <v>89</v>
      </c>
      <c r="N23" s="42" t="s">
        <v>34</v>
      </c>
      <c r="O23" s="42"/>
      <c r="P23" s="43">
        <f t="shared" si="2"/>
        <v>291000000</v>
      </c>
      <c r="S23" s="43">
        <f>P23</f>
        <v>291000000</v>
      </c>
      <c r="T23" s="43">
        <f>S23</f>
        <v>291000000</v>
      </c>
    </row>
    <row r="24" spans="1:20" x14ac:dyDescent="0.25">
      <c r="A24" s="13" t="s">
        <v>47</v>
      </c>
      <c r="B24" s="9">
        <v>1982</v>
      </c>
      <c r="C24" s="2" t="s">
        <v>23</v>
      </c>
      <c r="D24" s="9" t="s">
        <v>48</v>
      </c>
      <c r="E24" s="9" t="s">
        <v>113</v>
      </c>
      <c r="F24" s="21">
        <v>11000000</v>
      </c>
      <c r="G24" s="21">
        <v>359000000</v>
      </c>
      <c r="H24" s="25">
        <f t="shared" si="0"/>
        <v>32.636363636363633</v>
      </c>
      <c r="I24" s="25">
        <f t="shared" si="1"/>
        <v>31.636363636363637</v>
      </c>
      <c r="J24" s="42"/>
      <c r="K24" s="42" t="s">
        <v>48</v>
      </c>
      <c r="L24" s="42"/>
      <c r="M24" s="42"/>
      <c r="N24" s="42"/>
      <c r="O24" s="42"/>
      <c r="Q24" s="43">
        <f>G24-F24</f>
        <v>348000000</v>
      </c>
    </row>
    <row r="25" spans="1:20" x14ac:dyDescent="0.25">
      <c r="A25" s="13" t="s">
        <v>49</v>
      </c>
      <c r="B25" s="9">
        <v>2019</v>
      </c>
      <c r="C25" s="2" t="s">
        <v>10</v>
      </c>
      <c r="D25" s="9" t="s">
        <v>36</v>
      </c>
      <c r="E25" s="9" t="s">
        <v>114</v>
      </c>
      <c r="F25" s="21">
        <v>200000000</v>
      </c>
      <c r="G25" s="21">
        <v>434000000</v>
      </c>
      <c r="H25" s="25">
        <f t="shared" si="0"/>
        <v>2.17</v>
      </c>
      <c r="I25" s="25">
        <f t="shared" si="1"/>
        <v>1.17</v>
      </c>
      <c r="J25" s="42" t="s">
        <v>42</v>
      </c>
      <c r="K25" s="42"/>
      <c r="L25" s="42"/>
      <c r="M25" s="42" t="s">
        <v>89</v>
      </c>
      <c r="N25" s="42"/>
      <c r="O25" s="42"/>
      <c r="P25" s="43">
        <f t="shared" si="2"/>
        <v>234000000</v>
      </c>
      <c r="Q25" s="43"/>
      <c r="S25" s="43">
        <f>P25</f>
        <v>234000000</v>
      </c>
    </row>
    <row r="26" spans="1:20" x14ac:dyDescent="0.25">
      <c r="A26" s="13" t="s">
        <v>51</v>
      </c>
      <c r="B26" s="9">
        <v>2019</v>
      </c>
      <c r="C26" s="2" t="s">
        <v>10</v>
      </c>
      <c r="D26" s="9" t="s">
        <v>11</v>
      </c>
      <c r="E26" s="9" t="s">
        <v>12</v>
      </c>
      <c r="F26" s="21">
        <v>160000000</v>
      </c>
      <c r="G26" s="21">
        <v>427000000</v>
      </c>
      <c r="H26" s="25">
        <f t="shared" si="0"/>
        <v>2.6687500000000002</v>
      </c>
      <c r="I26" s="25">
        <f t="shared" si="1"/>
        <v>1.66875</v>
      </c>
      <c r="J26" s="42" t="s">
        <v>42</v>
      </c>
      <c r="K26" s="42" t="s">
        <v>48</v>
      </c>
      <c r="L26" s="42"/>
      <c r="M26" s="42"/>
      <c r="N26" s="42"/>
      <c r="O26" s="42"/>
      <c r="P26" s="43">
        <f t="shared" si="2"/>
        <v>267000000</v>
      </c>
      <c r="Q26" s="43">
        <f t="shared" ref="Q26:Q50" si="6">G26-F26</f>
        <v>267000000</v>
      </c>
    </row>
    <row r="27" spans="1:20" x14ac:dyDescent="0.25">
      <c r="A27" s="13" t="s">
        <v>52</v>
      </c>
      <c r="B27" s="9">
        <v>2013</v>
      </c>
      <c r="C27" s="2" t="s">
        <v>53</v>
      </c>
      <c r="D27" s="9" t="s">
        <v>11</v>
      </c>
      <c r="E27" s="9" t="s">
        <v>12</v>
      </c>
      <c r="F27" s="21">
        <v>130000000</v>
      </c>
      <c r="G27" s="21">
        <v>425000000</v>
      </c>
      <c r="H27" s="25">
        <f t="shared" si="0"/>
        <v>3.2692307692307692</v>
      </c>
      <c r="I27" s="25">
        <f t="shared" si="1"/>
        <v>2.2692307692307692</v>
      </c>
      <c r="J27" s="42" t="s">
        <v>42</v>
      </c>
      <c r="K27" s="42" t="s">
        <v>48</v>
      </c>
      <c r="L27" s="42"/>
      <c r="M27" s="42"/>
      <c r="N27" s="42"/>
      <c r="O27" s="42"/>
      <c r="P27" s="43">
        <f t="shared" si="2"/>
        <v>295000000</v>
      </c>
      <c r="Q27" s="43">
        <f t="shared" si="6"/>
        <v>295000000</v>
      </c>
    </row>
    <row r="28" spans="1:20" x14ac:dyDescent="0.25">
      <c r="A28" s="13" t="s">
        <v>54</v>
      </c>
      <c r="B28" s="9">
        <v>2006</v>
      </c>
      <c r="C28" s="2" t="s">
        <v>10</v>
      </c>
      <c r="D28" s="9" t="s">
        <v>42</v>
      </c>
      <c r="E28" s="9" t="s">
        <v>12</v>
      </c>
      <c r="F28" s="21">
        <v>225000000</v>
      </c>
      <c r="G28" s="21">
        <v>423000000</v>
      </c>
      <c r="H28" s="25">
        <f t="shared" si="0"/>
        <v>1.88</v>
      </c>
      <c r="I28" s="25">
        <f t="shared" si="1"/>
        <v>0.88</v>
      </c>
      <c r="J28" s="42" t="s">
        <v>42</v>
      </c>
      <c r="K28" s="42"/>
      <c r="L28" s="42"/>
      <c r="M28" s="42"/>
      <c r="N28" s="42"/>
      <c r="O28" s="42"/>
      <c r="P28" s="43">
        <f t="shared" si="2"/>
        <v>198000000</v>
      </c>
      <c r="Q28" s="43"/>
    </row>
    <row r="29" spans="1:20" x14ac:dyDescent="0.25">
      <c r="A29" s="13" t="s">
        <v>28</v>
      </c>
      <c r="B29" s="9">
        <v>1994</v>
      </c>
      <c r="C29" s="2" t="s">
        <v>10</v>
      </c>
      <c r="D29" s="9" t="s">
        <v>29</v>
      </c>
      <c r="E29" s="9" t="s">
        <v>114</v>
      </c>
      <c r="F29" s="21">
        <v>45000000</v>
      </c>
      <c r="G29" s="21">
        <v>313000000</v>
      </c>
      <c r="H29" s="25">
        <f t="shared" si="0"/>
        <v>6.9555555555555557</v>
      </c>
      <c r="I29" s="25">
        <f t="shared" si="1"/>
        <v>5.9555555555555557</v>
      </c>
      <c r="J29" s="42" t="s">
        <v>42</v>
      </c>
      <c r="K29" s="42"/>
      <c r="L29" s="42" t="s">
        <v>21</v>
      </c>
      <c r="M29" s="42"/>
      <c r="N29" s="42"/>
      <c r="O29" s="42"/>
      <c r="P29" s="43">
        <f t="shared" si="2"/>
        <v>268000000</v>
      </c>
      <c r="Q29" s="43"/>
      <c r="R29" s="43">
        <f>P29</f>
        <v>268000000</v>
      </c>
    </row>
    <row r="30" spans="1:20" x14ac:dyDescent="0.25">
      <c r="A30" s="13" t="s">
        <v>56</v>
      </c>
      <c r="B30" s="9">
        <v>2018</v>
      </c>
      <c r="C30" s="2" t="s">
        <v>23</v>
      </c>
      <c r="D30" s="9" t="s">
        <v>11</v>
      </c>
      <c r="E30" s="9" t="s">
        <v>12</v>
      </c>
      <c r="F30" s="21">
        <v>170000000</v>
      </c>
      <c r="G30" s="21">
        <v>418000000</v>
      </c>
      <c r="H30" s="25">
        <f t="shared" si="0"/>
        <v>2.4588235294117649</v>
      </c>
      <c r="I30" s="25">
        <f t="shared" si="1"/>
        <v>1.4588235294117646</v>
      </c>
      <c r="J30" s="42" t="s">
        <v>42</v>
      </c>
      <c r="K30" s="42" t="s">
        <v>48</v>
      </c>
      <c r="L30" s="42"/>
      <c r="M30" s="42"/>
      <c r="N30" s="42"/>
      <c r="O30" s="42"/>
      <c r="P30" s="43">
        <f t="shared" si="2"/>
        <v>248000000</v>
      </c>
      <c r="Q30" s="43">
        <f t="shared" si="6"/>
        <v>248000000</v>
      </c>
    </row>
    <row r="31" spans="1:20" x14ac:dyDescent="0.25">
      <c r="A31" s="13" t="s">
        <v>57</v>
      </c>
      <c r="B31" s="9">
        <v>2010</v>
      </c>
      <c r="C31" s="2" t="s">
        <v>10</v>
      </c>
      <c r="D31" s="9" t="s">
        <v>36</v>
      </c>
      <c r="E31" s="9" t="s">
        <v>114</v>
      </c>
      <c r="F31" s="21">
        <v>200000000</v>
      </c>
      <c r="G31" s="21">
        <v>415000000</v>
      </c>
      <c r="H31" s="25">
        <f t="shared" si="0"/>
        <v>2.0750000000000002</v>
      </c>
      <c r="I31" s="25">
        <f t="shared" si="1"/>
        <v>1.075</v>
      </c>
      <c r="J31" s="42" t="s">
        <v>42</v>
      </c>
      <c r="K31" s="42"/>
      <c r="L31" s="42"/>
      <c r="M31" s="42" t="s">
        <v>89</v>
      </c>
      <c r="N31" s="42"/>
      <c r="O31" s="42"/>
      <c r="P31" s="43">
        <f t="shared" si="2"/>
        <v>215000000</v>
      </c>
      <c r="Q31" s="43"/>
      <c r="S31" s="43">
        <f>P31</f>
        <v>215000000</v>
      </c>
    </row>
    <row r="32" spans="1:20" x14ac:dyDescent="0.25">
      <c r="A32" s="13" t="s">
        <v>58</v>
      </c>
      <c r="B32" s="9">
        <v>2017</v>
      </c>
      <c r="C32" s="2" t="s">
        <v>31</v>
      </c>
      <c r="D32" s="9" t="s">
        <v>11</v>
      </c>
      <c r="E32" s="9" t="s">
        <v>12</v>
      </c>
      <c r="F32" s="21">
        <v>149000000</v>
      </c>
      <c r="G32" s="21">
        <v>413000000</v>
      </c>
      <c r="H32" s="25">
        <f t="shared" si="0"/>
        <v>2.7718120805369129</v>
      </c>
      <c r="I32" s="25">
        <f t="shared" si="1"/>
        <v>1.7718120805369129</v>
      </c>
      <c r="J32" s="42" t="s">
        <v>42</v>
      </c>
      <c r="K32" s="42" t="s">
        <v>48</v>
      </c>
      <c r="L32" s="42"/>
      <c r="M32" s="42"/>
      <c r="N32" s="42"/>
      <c r="O32" s="42"/>
      <c r="P32" s="43">
        <f t="shared" si="2"/>
        <v>264000000</v>
      </c>
      <c r="Q32" s="43">
        <f t="shared" si="6"/>
        <v>264000000</v>
      </c>
    </row>
    <row r="33" spans="1:19" x14ac:dyDescent="0.25">
      <c r="A33" s="13" t="s">
        <v>59</v>
      </c>
      <c r="B33" s="9">
        <v>2013</v>
      </c>
      <c r="C33" s="2" t="s">
        <v>10</v>
      </c>
      <c r="D33" s="9" t="s">
        <v>11</v>
      </c>
      <c r="E33" s="9" t="s">
        <v>12</v>
      </c>
      <c r="F33" s="21">
        <v>200000000</v>
      </c>
      <c r="G33" s="21">
        <v>409013994</v>
      </c>
      <c r="H33" s="25">
        <f t="shared" si="0"/>
        <v>2.0450699700000001</v>
      </c>
      <c r="I33" s="25">
        <f t="shared" si="1"/>
        <v>1.0450699699999999</v>
      </c>
      <c r="J33" s="42" t="s">
        <v>42</v>
      </c>
      <c r="K33" s="42" t="s">
        <v>48</v>
      </c>
      <c r="L33" s="42"/>
      <c r="M33" s="42"/>
      <c r="N33" s="42"/>
      <c r="O33" s="42"/>
      <c r="P33" s="43">
        <f t="shared" si="2"/>
        <v>209013994</v>
      </c>
      <c r="Q33" s="43">
        <f t="shared" si="6"/>
        <v>209013994</v>
      </c>
    </row>
    <row r="34" spans="1:19" x14ac:dyDescent="0.25">
      <c r="A34" s="13" t="s">
        <v>60</v>
      </c>
      <c r="B34" s="9">
        <v>2016</v>
      </c>
      <c r="C34" s="2" t="s">
        <v>10</v>
      </c>
      <c r="D34" s="9" t="s">
        <v>11</v>
      </c>
      <c r="E34" s="9" t="s">
        <v>12</v>
      </c>
      <c r="F34" s="21">
        <v>250000000</v>
      </c>
      <c r="G34" s="21">
        <v>408000000</v>
      </c>
      <c r="H34" s="25">
        <f t="shared" ref="H34:H51" si="7">G34/F34</f>
        <v>1.6319999999999999</v>
      </c>
      <c r="I34" s="25">
        <f t="shared" ref="I34:I51" si="8">(G34-F34)/F34</f>
        <v>0.63200000000000001</v>
      </c>
      <c r="J34" s="42" t="s">
        <v>42</v>
      </c>
      <c r="K34" s="42" t="s">
        <v>48</v>
      </c>
      <c r="L34" s="42"/>
      <c r="M34" s="42"/>
      <c r="N34" s="42"/>
      <c r="O34" s="42"/>
      <c r="P34" s="43">
        <f t="shared" si="2"/>
        <v>158000000</v>
      </c>
      <c r="Q34" s="43">
        <f t="shared" si="6"/>
        <v>158000000</v>
      </c>
    </row>
    <row r="35" spans="1:19" x14ac:dyDescent="0.25">
      <c r="A35" s="13" t="s">
        <v>61</v>
      </c>
      <c r="B35" s="9">
        <v>2012</v>
      </c>
      <c r="C35" s="2" t="s">
        <v>53</v>
      </c>
      <c r="D35" s="9" t="s">
        <v>11</v>
      </c>
      <c r="E35" s="9" t="s">
        <v>12</v>
      </c>
      <c r="F35" s="21">
        <v>78000000</v>
      </c>
      <c r="G35" s="21">
        <v>408000000</v>
      </c>
      <c r="H35" s="25">
        <f t="shared" si="7"/>
        <v>5.2307692307692308</v>
      </c>
      <c r="I35" s="25">
        <f t="shared" si="8"/>
        <v>4.2307692307692308</v>
      </c>
      <c r="J35" s="42" t="s">
        <v>42</v>
      </c>
      <c r="K35" s="42" t="s">
        <v>48</v>
      </c>
      <c r="L35" s="42"/>
      <c r="M35" s="42"/>
      <c r="N35" s="42"/>
      <c r="O35" s="42"/>
      <c r="P35" s="43">
        <f t="shared" si="2"/>
        <v>330000000</v>
      </c>
      <c r="Q35" s="43">
        <f t="shared" si="6"/>
        <v>330000000</v>
      </c>
    </row>
    <row r="36" spans="1:19" x14ac:dyDescent="0.25">
      <c r="A36" s="13" t="s">
        <v>62</v>
      </c>
      <c r="B36" s="9">
        <v>2002</v>
      </c>
      <c r="C36" s="2" t="s">
        <v>63</v>
      </c>
      <c r="D36" s="9" t="s">
        <v>11</v>
      </c>
      <c r="E36" s="9" t="s">
        <v>12</v>
      </c>
      <c r="F36" s="21">
        <v>139000000</v>
      </c>
      <c r="G36" s="21">
        <v>404000000</v>
      </c>
      <c r="H36" s="25">
        <f t="shared" si="7"/>
        <v>2.906474820143885</v>
      </c>
      <c r="I36" s="25">
        <f t="shared" si="8"/>
        <v>1.9064748201438848</v>
      </c>
      <c r="J36" s="42" t="s">
        <v>42</v>
      </c>
      <c r="K36" s="42" t="s">
        <v>48</v>
      </c>
      <c r="L36" s="42"/>
      <c r="M36" s="42"/>
      <c r="N36" s="42"/>
      <c r="O36" s="42"/>
      <c r="P36" s="43">
        <f t="shared" si="2"/>
        <v>265000000</v>
      </c>
      <c r="Q36" s="43">
        <f t="shared" si="6"/>
        <v>265000000</v>
      </c>
    </row>
    <row r="37" spans="1:19" x14ac:dyDescent="0.25">
      <c r="A37" s="13" t="s">
        <v>64</v>
      </c>
      <c r="B37" s="9">
        <v>2017</v>
      </c>
      <c r="C37" s="2" t="s">
        <v>63</v>
      </c>
      <c r="D37" s="9" t="s">
        <v>36</v>
      </c>
      <c r="E37" s="9" t="s">
        <v>12</v>
      </c>
      <c r="F37" s="21">
        <v>90000000</v>
      </c>
      <c r="G37" s="21">
        <v>405000000</v>
      </c>
      <c r="H37" s="25">
        <f t="shared" si="7"/>
        <v>4.5</v>
      </c>
      <c r="I37" s="25">
        <f t="shared" si="8"/>
        <v>3.5</v>
      </c>
      <c r="J37" s="42" t="s">
        <v>42</v>
      </c>
      <c r="K37" s="42"/>
      <c r="L37" s="42"/>
      <c r="M37" s="42" t="s">
        <v>89</v>
      </c>
      <c r="N37" s="42"/>
      <c r="O37" s="42"/>
      <c r="P37" s="43">
        <f t="shared" si="2"/>
        <v>315000000</v>
      </c>
      <c r="Q37" s="43"/>
      <c r="S37" s="43">
        <f>P37</f>
        <v>315000000</v>
      </c>
    </row>
    <row r="38" spans="1:19" x14ac:dyDescent="0.25">
      <c r="A38" s="13" t="s">
        <v>65</v>
      </c>
      <c r="B38" s="9">
        <v>1993</v>
      </c>
      <c r="C38" s="2" t="s">
        <v>23</v>
      </c>
      <c r="D38" s="9" t="s">
        <v>11</v>
      </c>
      <c r="E38" s="9" t="s">
        <v>12</v>
      </c>
      <c r="F38" s="21">
        <v>63000000</v>
      </c>
      <c r="G38" s="21">
        <v>357000000</v>
      </c>
      <c r="H38" s="25">
        <f t="shared" si="7"/>
        <v>5.666666666666667</v>
      </c>
      <c r="I38" s="25">
        <f t="shared" si="8"/>
        <v>4.666666666666667</v>
      </c>
      <c r="J38" s="42" t="s">
        <v>42</v>
      </c>
      <c r="K38" s="42" t="s">
        <v>48</v>
      </c>
      <c r="L38" s="42"/>
      <c r="M38" s="42"/>
      <c r="N38" s="42"/>
      <c r="O38" s="42"/>
      <c r="P38" s="43">
        <f t="shared" si="2"/>
        <v>294000000</v>
      </c>
      <c r="Q38" s="43">
        <f t="shared" si="6"/>
        <v>294000000</v>
      </c>
    </row>
    <row r="39" spans="1:19" x14ac:dyDescent="0.25">
      <c r="A39" s="13" t="s">
        <v>66</v>
      </c>
      <c r="B39" s="9">
        <v>2009</v>
      </c>
      <c r="C39" s="2" t="s">
        <v>45</v>
      </c>
      <c r="D39" s="9" t="s">
        <v>11</v>
      </c>
      <c r="E39" s="9" t="s">
        <v>12</v>
      </c>
      <c r="F39" s="21">
        <v>200000000</v>
      </c>
      <c r="G39" s="21">
        <v>402000000</v>
      </c>
      <c r="H39" s="25">
        <f t="shared" si="7"/>
        <v>2.0099999999999998</v>
      </c>
      <c r="I39" s="25">
        <f t="shared" si="8"/>
        <v>1.01</v>
      </c>
      <c r="J39" s="42" t="s">
        <v>42</v>
      </c>
      <c r="K39" s="42" t="s">
        <v>48</v>
      </c>
      <c r="L39" s="42"/>
      <c r="M39" s="42"/>
      <c r="N39" s="42"/>
      <c r="O39" s="42"/>
      <c r="P39" s="43">
        <f t="shared" si="2"/>
        <v>202000000</v>
      </c>
      <c r="Q39" s="43">
        <f t="shared" si="6"/>
        <v>202000000</v>
      </c>
    </row>
    <row r="40" spans="1:19" x14ac:dyDescent="0.25">
      <c r="A40" s="13" t="s">
        <v>67</v>
      </c>
      <c r="B40" s="9">
        <v>2013</v>
      </c>
      <c r="C40" s="2" t="s">
        <v>10</v>
      </c>
      <c r="D40" s="9" t="s">
        <v>36</v>
      </c>
      <c r="E40" s="9" t="s">
        <v>113</v>
      </c>
      <c r="F40" s="21">
        <v>150000000</v>
      </c>
      <c r="G40" s="21">
        <v>401000000</v>
      </c>
      <c r="H40" s="25">
        <f t="shared" si="7"/>
        <v>2.6733333333333333</v>
      </c>
      <c r="I40" s="25">
        <f t="shared" si="8"/>
        <v>1.6733333333333333</v>
      </c>
      <c r="J40" s="42" t="s">
        <v>42</v>
      </c>
      <c r="K40" s="42"/>
      <c r="L40" s="42"/>
      <c r="M40" s="42" t="s">
        <v>89</v>
      </c>
      <c r="N40" s="42"/>
      <c r="O40" s="42"/>
      <c r="P40" s="43">
        <f t="shared" si="2"/>
        <v>251000000</v>
      </c>
      <c r="Q40" s="43"/>
      <c r="S40" s="43">
        <f>P40</f>
        <v>251000000</v>
      </c>
    </row>
    <row r="41" spans="1:19" x14ac:dyDescent="0.25">
      <c r="A41" s="13" t="s">
        <v>68</v>
      </c>
      <c r="B41" s="9">
        <v>2019</v>
      </c>
      <c r="C41" s="2" t="s">
        <v>63</v>
      </c>
      <c r="D41" s="9" t="s">
        <v>11</v>
      </c>
      <c r="E41" s="9" t="s">
        <v>12</v>
      </c>
      <c r="F41" s="21">
        <v>160000000</v>
      </c>
      <c r="G41" s="21">
        <v>391000000</v>
      </c>
      <c r="H41" s="25">
        <f t="shared" si="7"/>
        <v>2.4437500000000001</v>
      </c>
      <c r="I41" s="25">
        <f t="shared" si="8"/>
        <v>1.4437500000000001</v>
      </c>
      <c r="J41" s="42" t="s">
        <v>42</v>
      </c>
      <c r="K41" s="42" t="s">
        <v>48</v>
      </c>
      <c r="L41" s="42"/>
      <c r="M41" s="42"/>
      <c r="N41" s="42"/>
      <c r="O41" s="42"/>
      <c r="P41" s="43">
        <f t="shared" si="2"/>
        <v>231000000</v>
      </c>
      <c r="Q41" s="43">
        <f t="shared" si="6"/>
        <v>231000000</v>
      </c>
    </row>
    <row r="42" spans="1:19" x14ac:dyDescent="0.25">
      <c r="A42" s="13" t="s">
        <v>69</v>
      </c>
      <c r="B42" s="9">
        <v>2017</v>
      </c>
      <c r="C42" s="2" t="s">
        <v>10</v>
      </c>
      <c r="D42" s="9" t="s">
        <v>27</v>
      </c>
      <c r="E42" s="9" t="s">
        <v>12</v>
      </c>
      <c r="F42" s="21">
        <v>200000000</v>
      </c>
      <c r="G42" s="21">
        <v>390000000</v>
      </c>
      <c r="H42" s="25">
        <f t="shared" si="7"/>
        <v>1.95</v>
      </c>
      <c r="I42" s="25">
        <f t="shared" si="8"/>
        <v>0.95</v>
      </c>
      <c r="J42" s="42" t="s">
        <v>42</v>
      </c>
      <c r="K42" s="42" t="s">
        <v>48</v>
      </c>
      <c r="L42" s="42"/>
      <c r="M42" s="42" t="s">
        <v>89</v>
      </c>
      <c r="N42" s="42"/>
      <c r="O42" s="42"/>
      <c r="P42" s="43">
        <f t="shared" si="2"/>
        <v>190000000</v>
      </c>
      <c r="Q42" s="43">
        <f t="shared" si="6"/>
        <v>190000000</v>
      </c>
      <c r="S42" s="43">
        <f>P42</f>
        <v>190000000</v>
      </c>
    </row>
    <row r="43" spans="1:19" x14ac:dyDescent="0.25">
      <c r="A43" s="13" t="s">
        <v>70</v>
      </c>
      <c r="B43" s="9">
        <v>2011</v>
      </c>
      <c r="C43" s="2" t="s">
        <v>31</v>
      </c>
      <c r="D43" s="9" t="s">
        <v>29</v>
      </c>
      <c r="E43" s="9" t="s">
        <v>12</v>
      </c>
      <c r="F43" s="21">
        <v>250000000</v>
      </c>
      <c r="G43" s="21">
        <v>381000000</v>
      </c>
      <c r="H43" s="25">
        <f t="shared" si="7"/>
        <v>1.524</v>
      </c>
      <c r="I43" s="25">
        <f t="shared" si="8"/>
        <v>0.52400000000000002</v>
      </c>
      <c r="J43" s="42" t="s">
        <v>42</v>
      </c>
      <c r="K43" s="42"/>
      <c r="L43" s="42" t="s">
        <v>21</v>
      </c>
      <c r="M43" s="42"/>
      <c r="N43" s="42"/>
      <c r="O43" s="42"/>
      <c r="P43" s="43">
        <f t="shared" si="2"/>
        <v>131000000</v>
      </c>
      <c r="Q43" s="43"/>
      <c r="R43" s="43">
        <f>P43</f>
        <v>131000000</v>
      </c>
    </row>
    <row r="44" spans="1:19" x14ac:dyDescent="0.25">
      <c r="A44" s="15" t="s">
        <v>79</v>
      </c>
      <c r="B44" s="11">
        <v>2003</v>
      </c>
      <c r="C44" s="7" t="s">
        <v>10</v>
      </c>
      <c r="D44" s="11" t="s">
        <v>36</v>
      </c>
      <c r="E44" s="11" t="s">
        <v>114</v>
      </c>
      <c r="F44" s="21">
        <v>94000000</v>
      </c>
      <c r="G44" s="21">
        <v>340000000</v>
      </c>
      <c r="H44" s="27">
        <f t="shared" si="7"/>
        <v>3.6170212765957448</v>
      </c>
      <c r="I44" s="27">
        <f t="shared" si="8"/>
        <v>2.6170212765957448</v>
      </c>
      <c r="J44" s="42" t="s">
        <v>42</v>
      </c>
      <c r="K44" s="42"/>
      <c r="L44" s="42"/>
      <c r="M44" s="42" t="s">
        <v>89</v>
      </c>
      <c r="N44" s="42"/>
      <c r="O44" s="42"/>
      <c r="P44" s="43">
        <f t="shared" si="2"/>
        <v>246000000</v>
      </c>
      <c r="Q44" s="43"/>
      <c r="S44" s="43">
        <f>P44</f>
        <v>246000000</v>
      </c>
    </row>
    <row r="45" spans="1:19" x14ac:dyDescent="0.25">
      <c r="A45" s="15" t="s">
        <v>80</v>
      </c>
      <c r="B45" s="11">
        <v>2005</v>
      </c>
      <c r="C45" s="7" t="s">
        <v>16</v>
      </c>
      <c r="D45" s="11" t="s">
        <v>11</v>
      </c>
      <c r="E45" s="11" t="s">
        <v>12</v>
      </c>
      <c r="F45" s="21">
        <v>113000000</v>
      </c>
      <c r="G45" s="21">
        <v>380000000</v>
      </c>
      <c r="H45" s="27">
        <f t="shared" si="7"/>
        <v>3.3628318584070795</v>
      </c>
      <c r="I45" s="27">
        <f t="shared" si="8"/>
        <v>2.3628318584070795</v>
      </c>
      <c r="J45" s="42" t="s">
        <v>42</v>
      </c>
      <c r="K45" s="42" t="s">
        <v>48</v>
      </c>
      <c r="L45" s="42"/>
      <c r="M45" s="42"/>
      <c r="N45" s="42"/>
      <c r="O45" s="42"/>
      <c r="P45" s="43">
        <f t="shared" si="2"/>
        <v>267000000</v>
      </c>
      <c r="Q45" s="43">
        <f t="shared" si="6"/>
        <v>267000000</v>
      </c>
    </row>
    <row r="46" spans="1:19" x14ac:dyDescent="0.25">
      <c r="A46" s="13" t="s">
        <v>71</v>
      </c>
      <c r="B46" s="9">
        <v>2003</v>
      </c>
      <c r="C46" s="2" t="s">
        <v>72</v>
      </c>
      <c r="D46" s="9" t="s">
        <v>29</v>
      </c>
      <c r="E46" s="9" t="s">
        <v>12</v>
      </c>
      <c r="F46" s="21">
        <v>94000000</v>
      </c>
      <c r="G46" s="21">
        <v>377000000</v>
      </c>
      <c r="H46" s="25">
        <f t="shared" si="7"/>
        <v>4.0106382978723403</v>
      </c>
      <c r="I46" s="25">
        <f t="shared" si="8"/>
        <v>3.0106382978723403</v>
      </c>
      <c r="J46" s="42" t="s">
        <v>42</v>
      </c>
      <c r="K46" s="42"/>
      <c r="L46" s="42" t="s">
        <v>21</v>
      </c>
      <c r="M46" s="42"/>
      <c r="N46" s="42"/>
      <c r="O46" s="42"/>
      <c r="P46" s="43">
        <f t="shared" si="2"/>
        <v>283000000</v>
      </c>
      <c r="Q46" s="43"/>
      <c r="R46" s="43">
        <f>P46</f>
        <v>283000000</v>
      </c>
    </row>
    <row r="47" spans="1:19" x14ac:dyDescent="0.25">
      <c r="A47" s="13" t="s">
        <v>73</v>
      </c>
      <c r="B47" s="9">
        <v>2004</v>
      </c>
      <c r="C47" s="2" t="s">
        <v>63</v>
      </c>
      <c r="D47" s="9" t="s">
        <v>11</v>
      </c>
      <c r="E47" s="9" t="s">
        <v>12</v>
      </c>
      <c r="F47" s="21">
        <v>200000000</v>
      </c>
      <c r="G47" s="21">
        <v>374000000</v>
      </c>
      <c r="H47" s="25">
        <f t="shared" si="7"/>
        <v>1.87</v>
      </c>
      <c r="I47" s="25">
        <f t="shared" si="8"/>
        <v>0.87</v>
      </c>
      <c r="J47" s="42" t="s">
        <v>42</v>
      </c>
      <c r="K47" s="42" t="s">
        <v>48</v>
      </c>
      <c r="L47" s="42"/>
      <c r="M47" s="42"/>
      <c r="N47" s="42"/>
      <c r="O47" s="42"/>
      <c r="P47" s="43">
        <f t="shared" si="2"/>
        <v>174000000</v>
      </c>
      <c r="Q47" s="43">
        <f t="shared" si="6"/>
        <v>174000000</v>
      </c>
    </row>
    <row r="48" spans="1:19" x14ac:dyDescent="0.25">
      <c r="A48" s="13" t="s">
        <v>74</v>
      </c>
      <c r="B48" s="9">
        <v>2004</v>
      </c>
      <c r="C48" s="2" t="s">
        <v>75</v>
      </c>
      <c r="D48" s="9" t="s">
        <v>21</v>
      </c>
      <c r="E48" s="9" t="s">
        <v>34</v>
      </c>
      <c r="F48" s="21">
        <v>30000000</v>
      </c>
      <c r="G48" s="21">
        <v>370000000</v>
      </c>
      <c r="H48" s="25">
        <f t="shared" si="7"/>
        <v>12.333333333333334</v>
      </c>
      <c r="I48" s="25">
        <f t="shared" si="8"/>
        <v>11.333333333333334</v>
      </c>
      <c r="J48" s="42"/>
      <c r="K48" s="42"/>
      <c r="L48" s="42" t="s">
        <v>21</v>
      </c>
      <c r="M48" s="42"/>
      <c r="N48" s="42"/>
      <c r="O48" s="42"/>
      <c r="Q48" s="43"/>
      <c r="R48" s="43">
        <f>G48-F48</f>
        <v>340000000</v>
      </c>
    </row>
    <row r="49" spans="1:20" x14ac:dyDescent="0.25">
      <c r="A49" s="13" t="s">
        <v>76</v>
      </c>
      <c r="B49" s="9">
        <v>2016</v>
      </c>
      <c r="C49" s="2" t="s">
        <v>23</v>
      </c>
      <c r="D49" s="19" t="s">
        <v>36</v>
      </c>
      <c r="E49" s="9" t="s">
        <v>113</v>
      </c>
      <c r="F49" s="21">
        <v>75000000</v>
      </c>
      <c r="G49" s="21">
        <v>368000000</v>
      </c>
      <c r="H49" s="25">
        <f t="shared" si="7"/>
        <v>4.9066666666666663</v>
      </c>
      <c r="I49" s="25">
        <f t="shared" si="8"/>
        <v>3.9066666666666667</v>
      </c>
      <c r="J49" s="42" t="s">
        <v>42</v>
      </c>
      <c r="K49" s="42"/>
      <c r="L49" s="42"/>
      <c r="M49" s="42" t="s">
        <v>89</v>
      </c>
      <c r="N49" s="42"/>
      <c r="O49" s="42"/>
      <c r="P49" s="43">
        <f t="shared" si="2"/>
        <v>293000000</v>
      </c>
      <c r="Q49" s="43"/>
      <c r="R49" s="43"/>
      <c r="S49" s="43">
        <f>P49</f>
        <v>293000000</v>
      </c>
    </row>
    <row r="50" spans="1:20" x14ac:dyDescent="0.25">
      <c r="A50" s="13" t="s">
        <v>77</v>
      </c>
      <c r="B50" s="9">
        <v>2013</v>
      </c>
      <c r="C50" s="2" t="s">
        <v>23</v>
      </c>
      <c r="D50" s="9" t="s">
        <v>27</v>
      </c>
      <c r="E50" s="9" t="s">
        <v>113</v>
      </c>
      <c r="F50" s="21">
        <v>76000000</v>
      </c>
      <c r="G50" s="21">
        <v>368000000</v>
      </c>
      <c r="H50" s="25">
        <f t="shared" si="7"/>
        <v>4.8421052631578947</v>
      </c>
      <c r="I50" s="25">
        <f t="shared" si="8"/>
        <v>3.8421052631578947</v>
      </c>
      <c r="J50" s="42" t="s">
        <v>42</v>
      </c>
      <c r="K50" s="42" t="s">
        <v>48</v>
      </c>
      <c r="L50" s="42"/>
      <c r="M50" s="42" t="s">
        <v>89</v>
      </c>
      <c r="N50" s="42"/>
      <c r="O50" s="42"/>
      <c r="P50" s="43">
        <f t="shared" si="2"/>
        <v>292000000</v>
      </c>
      <c r="Q50" s="43">
        <f t="shared" si="6"/>
        <v>292000000</v>
      </c>
      <c r="R50" s="43"/>
      <c r="S50" s="43">
        <f>P50</f>
        <v>292000000</v>
      </c>
    </row>
    <row r="51" spans="1:20" x14ac:dyDescent="0.25">
      <c r="A51" s="15" t="s">
        <v>81</v>
      </c>
      <c r="B51" s="11">
        <v>2016</v>
      </c>
      <c r="C51" s="7" t="s">
        <v>10</v>
      </c>
      <c r="D51" s="11" t="s">
        <v>29</v>
      </c>
      <c r="E51" s="9" t="s">
        <v>113</v>
      </c>
      <c r="F51" s="21">
        <v>175000000</v>
      </c>
      <c r="G51" s="21">
        <v>103000000</v>
      </c>
      <c r="H51" s="27">
        <f t="shared" si="7"/>
        <v>0.58857142857142852</v>
      </c>
      <c r="I51" s="27">
        <f t="shared" si="8"/>
        <v>-0.41142857142857142</v>
      </c>
      <c r="J51" s="42" t="s">
        <v>42</v>
      </c>
      <c r="K51" s="42"/>
      <c r="L51" s="42" t="s">
        <v>21</v>
      </c>
      <c r="M51" s="42"/>
      <c r="N51" s="42"/>
      <c r="O51" s="42"/>
      <c r="P51" s="43">
        <f t="shared" si="2"/>
        <v>-72000000</v>
      </c>
      <c r="Q51" s="43"/>
      <c r="R51" s="43">
        <f t="shared" ref="R51" si="9">G51-F51</f>
        <v>-72000000</v>
      </c>
    </row>
    <row r="52" spans="1:20" x14ac:dyDescent="0.25">
      <c r="F52" s="1">
        <f>COUNTIF(F2:F51,"*&lt;300,000,000*")</f>
        <v>0</v>
      </c>
      <c r="J52" s="42">
        <f>COUNTIF(J2:J51,J51)</f>
        <v>46</v>
      </c>
      <c r="K52" s="42">
        <f>COUNTIF(K2:K51,K50)</f>
        <v>30</v>
      </c>
      <c r="L52" s="42">
        <f t="shared" ref="L52" si="10">COUNTIF(L2:L51,L51)</f>
        <v>9</v>
      </c>
      <c r="M52" s="42">
        <f>COUNTIF(M2:M51,M50)</f>
        <v>12</v>
      </c>
      <c r="N52" s="42">
        <f>COUNTIF(N2:N51,N23)</f>
        <v>2</v>
      </c>
      <c r="O52" s="42"/>
      <c r="P52" s="43">
        <f>SUM(P2:P51)</f>
        <v>13360013994</v>
      </c>
      <c r="Q52" s="43">
        <f>SUM(Q2:Q51)</f>
        <v>9612013994</v>
      </c>
      <c r="R52" s="43">
        <f>SUM(R2:R51)</f>
        <v>2485000000</v>
      </c>
      <c r="S52" s="43">
        <f>SUM(S2:S51)</f>
        <v>3349000000</v>
      </c>
      <c r="T52" s="43">
        <f>SUM(T2:T51)</f>
        <v>635000000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sqref="A1:E1"/>
    </sheetView>
  </sheetViews>
  <sheetFormatPr defaultColWidth="11" defaultRowHeight="15.75" x14ac:dyDescent="0.25"/>
  <cols>
    <col min="1" max="1" width="11.125" customWidth="1"/>
    <col min="3" max="3" width="11.125" customWidth="1"/>
  </cols>
  <sheetData>
    <row r="1" spans="1:5" ht="32.25" thickBot="1" x14ac:dyDescent="0.3">
      <c r="A1" s="37" t="s">
        <v>82</v>
      </c>
      <c r="B1" s="5" t="s">
        <v>83</v>
      </c>
      <c r="C1" s="5" t="s">
        <v>85</v>
      </c>
      <c r="D1" s="5" t="s">
        <v>84</v>
      </c>
      <c r="E1" s="38" t="s">
        <v>86</v>
      </c>
    </row>
    <row r="2" spans="1:5" x14ac:dyDescent="0.25">
      <c r="A2" s="39">
        <v>46</v>
      </c>
      <c r="B2" s="39">
        <v>30</v>
      </c>
      <c r="C2" s="39">
        <v>12</v>
      </c>
      <c r="D2" s="39">
        <v>9</v>
      </c>
      <c r="E2" s="39">
        <v>2</v>
      </c>
    </row>
    <row r="3" spans="1:5" x14ac:dyDescent="0.25">
      <c r="A3" s="30"/>
      <c r="B3" s="30"/>
      <c r="C3" s="30"/>
      <c r="D3" s="30"/>
      <c r="E3" s="30"/>
    </row>
    <row r="4" spans="1:5" x14ac:dyDescent="0.25">
      <c r="A4" s="31"/>
      <c r="B4" s="30"/>
      <c r="C4" s="30"/>
      <c r="D4" s="30"/>
      <c r="E4" s="30"/>
    </row>
    <row r="5" spans="1:5" x14ac:dyDescent="0.25">
      <c r="A5" s="31"/>
      <c r="B5" s="30"/>
      <c r="C5" s="30"/>
      <c r="D5" s="30"/>
      <c r="E5" s="30"/>
    </row>
    <row r="6" spans="1:5" x14ac:dyDescent="0.25">
      <c r="A6" s="31"/>
      <c r="B6" s="30"/>
      <c r="C6" s="30"/>
      <c r="D6" s="30"/>
      <c r="E6" s="30"/>
    </row>
    <row r="7" spans="1:5" x14ac:dyDescent="0.25">
      <c r="A7" s="31"/>
      <c r="B7" s="30"/>
      <c r="C7" s="30"/>
      <c r="D7" s="30"/>
      <c r="E7" s="30"/>
    </row>
    <row r="8" spans="1:5" x14ac:dyDescent="0.25">
      <c r="A8" s="31"/>
      <c r="B8" s="30"/>
      <c r="C8" s="30"/>
      <c r="D8" s="30"/>
      <c r="E8" s="30"/>
    </row>
    <row r="9" spans="1:5" x14ac:dyDescent="0.25">
      <c r="A9" s="31"/>
      <c r="B9" s="30"/>
      <c r="C9" s="30"/>
      <c r="D9" s="30"/>
      <c r="E9" s="30"/>
    </row>
    <row r="10" spans="1:5" x14ac:dyDescent="0.25">
      <c r="A10" s="31"/>
      <c r="B10" s="30"/>
      <c r="C10" s="30"/>
      <c r="D10" s="30"/>
      <c r="E10" s="30"/>
    </row>
    <row r="11" spans="1:5" x14ac:dyDescent="0.25">
      <c r="A11" s="31"/>
      <c r="B11" s="30"/>
      <c r="C11" s="30"/>
      <c r="D11" s="30"/>
      <c r="E11" s="30"/>
    </row>
    <row r="12" spans="1:5" x14ac:dyDescent="0.25">
      <c r="A12" s="31"/>
      <c r="B12" s="30"/>
      <c r="C12" s="30"/>
      <c r="D12" s="30"/>
      <c r="E12" s="30"/>
    </row>
    <row r="13" spans="1:5" x14ac:dyDescent="0.25">
      <c r="A13" s="31"/>
      <c r="B13" s="30"/>
      <c r="C13" s="30"/>
      <c r="D13" s="30"/>
      <c r="E13" s="30"/>
    </row>
    <row r="14" spans="1:5" x14ac:dyDescent="0.25">
      <c r="A14" s="31"/>
      <c r="B14" s="30"/>
      <c r="C14" s="30"/>
      <c r="D14" s="30"/>
      <c r="E14" s="30"/>
    </row>
    <row r="15" spans="1:5" x14ac:dyDescent="0.25">
      <c r="A15" s="31"/>
      <c r="B15" s="30"/>
      <c r="C15" s="30"/>
      <c r="D15" s="30"/>
      <c r="E15" s="30"/>
    </row>
    <row r="16" spans="1:5" x14ac:dyDescent="0.25">
      <c r="A16" s="31"/>
      <c r="B16" s="30"/>
      <c r="C16" s="30"/>
      <c r="D16" s="30"/>
      <c r="E16" s="30"/>
    </row>
    <row r="17" spans="1:5" x14ac:dyDescent="0.25">
      <c r="A17" s="31"/>
      <c r="B17" s="30"/>
      <c r="C17" s="30"/>
      <c r="D17" s="30"/>
      <c r="E17" s="30"/>
    </row>
    <row r="18" spans="1:5" x14ac:dyDescent="0.25">
      <c r="A18" s="31"/>
      <c r="B18" s="30"/>
      <c r="C18" s="30"/>
      <c r="D18" s="30"/>
      <c r="E18" s="30"/>
    </row>
    <row r="19" spans="1:5" x14ac:dyDescent="0.25">
      <c r="A19" s="31"/>
      <c r="B19" s="30"/>
      <c r="C19" s="30"/>
      <c r="D19" s="30"/>
      <c r="E19" s="30"/>
    </row>
    <row r="20" spans="1:5" x14ac:dyDescent="0.25">
      <c r="A20" s="31"/>
      <c r="B20" s="30"/>
      <c r="C20" s="30"/>
      <c r="D20" s="30"/>
      <c r="E20" s="30"/>
    </row>
    <row r="21" spans="1:5" x14ac:dyDescent="0.25">
      <c r="A21" s="31"/>
      <c r="B21" s="30"/>
      <c r="C21" s="30"/>
      <c r="D21" s="30"/>
      <c r="E21" s="30"/>
    </row>
    <row r="22" spans="1:5" x14ac:dyDescent="0.25">
      <c r="A22" s="31"/>
      <c r="B22" s="30"/>
      <c r="C22" s="30"/>
      <c r="D22" s="30"/>
      <c r="E22" s="30"/>
    </row>
    <row r="23" spans="1:5" x14ac:dyDescent="0.25">
      <c r="A23" s="31"/>
      <c r="B23" s="30"/>
      <c r="C23" s="30"/>
      <c r="D23" s="30"/>
      <c r="E23" s="30"/>
    </row>
    <row r="24" spans="1:5" x14ac:dyDescent="0.25">
      <c r="A24" s="31"/>
      <c r="B24" s="30"/>
      <c r="C24" s="30"/>
      <c r="D24" s="30"/>
      <c r="E24" s="30"/>
    </row>
    <row r="25" spans="1:5" x14ac:dyDescent="0.25">
      <c r="A25" s="31"/>
      <c r="B25" s="30"/>
      <c r="C25" s="30"/>
      <c r="D25" s="30"/>
      <c r="E25" s="30"/>
    </row>
    <row r="26" spans="1:5" x14ac:dyDescent="0.25">
      <c r="A26" s="31"/>
      <c r="B26" s="30"/>
      <c r="C26" s="30"/>
      <c r="D26" s="30"/>
      <c r="E26" s="30"/>
    </row>
    <row r="27" spans="1:5" x14ac:dyDescent="0.25">
      <c r="A27" s="31"/>
      <c r="B27" s="30"/>
      <c r="C27" s="30"/>
      <c r="D27" s="30"/>
      <c r="E27" s="30"/>
    </row>
    <row r="28" spans="1:5" x14ac:dyDescent="0.25">
      <c r="A28" s="31"/>
      <c r="B28" s="30"/>
      <c r="C28" s="30"/>
      <c r="D28" s="30"/>
      <c r="E28" s="30"/>
    </row>
    <row r="29" spans="1:5" x14ac:dyDescent="0.25">
      <c r="A29" s="31"/>
      <c r="B29" s="30"/>
      <c r="C29" s="30"/>
      <c r="D29" s="30"/>
      <c r="E29" s="30"/>
    </row>
    <row r="30" spans="1:5" x14ac:dyDescent="0.25">
      <c r="A30" s="31"/>
      <c r="B30" s="30"/>
      <c r="C30" s="30"/>
      <c r="D30" s="30"/>
      <c r="E30" s="30"/>
    </row>
    <row r="31" spans="1:5" x14ac:dyDescent="0.25">
      <c r="A31" s="31"/>
      <c r="B31" s="30"/>
      <c r="C31" s="30"/>
      <c r="D31" s="30"/>
      <c r="E31" s="30"/>
    </row>
    <row r="32" spans="1:5" x14ac:dyDescent="0.25">
      <c r="A32" s="31"/>
      <c r="B32" s="30"/>
      <c r="C32" s="30"/>
      <c r="D32" s="30"/>
      <c r="E32" s="30"/>
    </row>
    <row r="33" spans="1:5" x14ac:dyDescent="0.25">
      <c r="A33" s="31"/>
      <c r="B33" s="30"/>
      <c r="C33" s="30"/>
      <c r="D33" s="30"/>
      <c r="E33" s="30"/>
    </row>
    <row r="34" spans="1:5" x14ac:dyDescent="0.25">
      <c r="A34" s="31"/>
      <c r="B34" s="30"/>
      <c r="C34" s="30"/>
      <c r="D34" s="30"/>
      <c r="E34" s="30"/>
    </row>
    <row r="35" spans="1:5" x14ac:dyDescent="0.25">
      <c r="A35" s="31"/>
      <c r="B35" s="30"/>
      <c r="C35" s="30"/>
      <c r="D35" s="30"/>
      <c r="E35" s="30"/>
    </row>
    <row r="36" spans="1:5" x14ac:dyDescent="0.25">
      <c r="A36" s="31"/>
      <c r="B36" s="30"/>
      <c r="C36" s="30"/>
      <c r="D36" s="30"/>
      <c r="E36" s="30"/>
    </row>
    <row r="37" spans="1:5" x14ac:dyDescent="0.25">
      <c r="A37" s="31"/>
      <c r="B37" s="30"/>
      <c r="C37" s="30"/>
      <c r="D37" s="30"/>
      <c r="E37" s="30"/>
    </row>
    <row r="38" spans="1:5" x14ac:dyDescent="0.25">
      <c r="A38" s="31"/>
      <c r="B38" s="30"/>
      <c r="C38" s="30"/>
      <c r="D38" s="30"/>
      <c r="E38" s="30"/>
    </row>
    <row r="39" spans="1:5" x14ac:dyDescent="0.25">
      <c r="A39" s="31"/>
      <c r="B39" s="30"/>
      <c r="C39" s="30"/>
      <c r="D39" s="30"/>
      <c r="E39" s="30"/>
    </row>
    <row r="40" spans="1:5" x14ac:dyDescent="0.25">
      <c r="A40" s="31"/>
      <c r="B40" s="30"/>
      <c r="C40" s="30"/>
      <c r="D40" s="30"/>
      <c r="E40" s="30"/>
    </row>
    <row r="41" spans="1:5" x14ac:dyDescent="0.25">
      <c r="A41" s="31"/>
      <c r="B41" s="30"/>
      <c r="C41" s="30"/>
      <c r="D41" s="30"/>
      <c r="E41" s="30"/>
    </row>
    <row r="42" spans="1:5" x14ac:dyDescent="0.25">
      <c r="A42" s="31"/>
      <c r="B42" s="30"/>
      <c r="C42" s="30"/>
      <c r="D42" s="30"/>
      <c r="E42" s="30"/>
    </row>
    <row r="43" spans="1:5" x14ac:dyDescent="0.25">
      <c r="A43" s="31"/>
      <c r="B43" s="30"/>
      <c r="C43" s="30"/>
      <c r="D43" s="30"/>
      <c r="E43" s="30"/>
    </row>
    <row r="44" spans="1:5" x14ac:dyDescent="0.25">
      <c r="A44" s="31"/>
      <c r="B44" s="30"/>
      <c r="C44" s="30"/>
      <c r="D44" s="30"/>
      <c r="E44" s="30"/>
    </row>
    <row r="45" spans="1:5" x14ac:dyDescent="0.25">
      <c r="A45" s="31"/>
      <c r="B45" s="30"/>
      <c r="C45" s="30"/>
      <c r="D45" s="30"/>
      <c r="E45" s="30"/>
    </row>
    <row r="46" spans="1:5" x14ac:dyDescent="0.25">
      <c r="A46" s="31"/>
      <c r="B46" s="30"/>
      <c r="C46" s="30"/>
      <c r="D46" s="30"/>
      <c r="E46" s="30"/>
    </row>
    <row r="47" spans="1:5" x14ac:dyDescent="0.25">
      <c r="A47" s="30"/>
      <c r="B47" s="30"/>
      <c r="C47" s="30"/>
      <c r="D47" s="30"/>
      <c r="E47" s="30"/>
    </row>
    <row r="48" spans="1:5" x14ac:dyDescent="0.25">
      <c r="A48" s="32"/>
      <c r="B48" s="33"/>
      <c r="C48" s="30"/>
      <c r="D48" s="30"/>
      <c r="E48" s="30"/>
    </row>
    <row r="49" spans="1:5" x14ac:dyDescent="0.25">
      <c r="A49" s="32"/>
      <c r="B49" s="36"/>
      <c r="C49" s="30"/>
      <c r="D49" s="30"/>
      <c r="E49" s="30"/>
    </row>
    <row r="50" spans="1:5" x14ac:dyDescent="0.25">
      <c r="A50" s="32"/>
      <c r="B50" s="33"/>
      <c r="C50" s="30"/>
      <c r="D50" s="30"/>
      <c r="E50" s="30"/>
    </row>
    <row r="51" spans="1:5" x14ac:dyDescent="0.25">
      <c r="A51" s="34"/>
      <c r="B51" s="35"/>
      <c r="C51" s="30"/>
      <c r="D51" s="30"/>
      <c r="E51" s="30"/>
    </row>
  </sheetData>
  <conditionalFormatting sqref="A48:B51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A6"/>
    </sheetView>
  </sheetViews>
  <sheetFormatPr defaultColWidth="11" defaultRowHeight="15.75" x14ac:dyDescent="0.25"/>
  <cols>
    <col min="1" max="1" width="14.625" style="1" bestFit="1" customWidth="1"/>
    <col min="2" max="2" width="15.5" bestFit="1" customWidth="1"/>
    <col min="3" max="5" width="12.125" bestFit="1" customWidth="1"/>
  </cols>
  <sheetData>
    <row r="1" spans="1:8" x14ac:dyDescent="0.25">
      <c r="A1" s="33" t="s">
        <v>87</v>
      </c>
      <c r="B1" s="30" t="s">
        <v>88</v>
      </c>
      <c r="C1" s="30"/>
      <c r="D1" s="30"/>
      <c r="E1" s="30"/>
      <c r="F1" s="30"/>
      <c r="G1" s="30"/>
    </row>
    <row r="2" spans="1:8" x14ac:dyDescent="0.25">
      <c r="A2" s="40" t="s">
        <v>42</v>
      </c>
      <c r="B2" s="40">
        <f>Data!P52</f>
        <v>13360013994</v>
      </c>
      <c r="C2" s="40"/>
      <c r="D2" s="33"/>
      <c r="E2" s="40"/>
      <c r="F2" s="33"/>
      <c r="G2" s="30"/>
      <c r="H2" s="33"/>
    </row>
    <row r="3" spans="1:8" x14ac:dyDescent="0.25">
      <c r="A3" s="1" t="s">
        <v>48</v>
      </c>
      <c r="B3" s="40">
        <f>Data!Q52</f>
        <v>9612013994</v>
      </c>
      <c r="C3" s="40"/>
      <c r="D3" s="33"/>
      <c r="E3" s="33"/>
      <c r="F3" s="33"/>
      <c r="G3" s="30"/>
      <c r="H3" s="33"/>
    </row>
    <row r="4" spans="1:8" x14ac:dyDescent="0.25">
      <c r="A4" s="40" t="s">
        <v>21</v>
      </c>
      <c r="B4" s="40">
        <f>Data!R52</f>
        <v>2485000000</v>
      </c>
      <c r="C4" s="40"/>
      <c r="D4" s="33"/>
      <c r="E4" s="33"/>
      <c r="F4" s="33"/>
      <c r="G4" s="30"/>
      <c r="H4" s="33"/>
    </row>
    <row r="5" spans="1:8" x14ac:dyDescent="0.25">
      <c r="A5" s="40" t="s">
        <v>89</v>
      </c>
      <c r="B5" s="40">
        <f>Data!S52</f>
        <v>3349000000</v>
      </c>
      <c r="C5" s="40"/>
      <c r="D5" s="33"/>
      <c r="E5" s="33"/>
      <c r="F5" s="33"/>
      <c r="G5" s="30"/>
      <c r="H5" s="33"/>
    </row>
    <row r="6" spans="1:8" x14ac:dyDescent="0.25">
      <c r="A6" s="1" t="s">
        <v>34</v>
      </c>
      <c r="B6" s="40">
        <f>Data!T52</f>
        <v>635000000</v>
      </c>
      <c r="C6" s="33"/>
      <c r="D6" s="33"/>
      <c r="E6" s="33"/>
      <c r="F6" s="33"/>
      <c r="G6" s="30"/>
      <c r="H6" s="33"/>
    </row>
    <row r="7" spans="1:8" x14ac:dyDescent="0.25">
      <c r="B7" s="40"/>
      <c r="C7" s="33"/>
      <c r="D7" s="33"/>
      <c r="E7" s="33"/>
      <c r="F7" s="33"/>
      <c r="G7" s="30"/>
      <c r="H7" s="33"/>
    </row>
    <row r="8" spans="1:8" x14ac:dyDescent="0.25">
      <c r="A8" s="40"/>
      <c r="B8" s="33"/>
      <c r="C8" s="33"/>
      <c r="D8" s="33"/>
      <c r="E8" s="33"/>
      <c r="F8" s="33"/>
      <c r="G8" s="30"/>
      <c r="H8" s="33"/>
    </row>
    <row r="9" spans="1:8" x14ac:dyDescent="0.25">
      <c r="A9" s="40"/>
      <c r="B9" s="33"/>
      <c r="C9" s="33"/>
      <c r="D9" s="33"/>
      <c r="E9" s="33"/>
      <c r="F9" s="33"/>
      <c r="G9" s="30"/>
      <c r="H9" s="33"/>
    </row>
    <row r="10" spans="1:8" x14ac:dyDescent="0.25">
      <c r="A10" s="40"/>
      <c r="B10" s="33"/>
      <c r="C10" s="33"/>
      <c r="D10" s="33"/>
      <c r="E10" s="33"/>
      <c r="F10" s="33"/>
      <c r="G10" s="30"/>
      <c r="H10" s="33"/>
    </row>
    <row r="11" spans="1:8" x14ac:dyDescent="0.25">
      <c r="A11" s="40"/>
      <c r="B11" s="33"/>
      <c r="C11" s="33"/>
      <c r="D11" s="33"/>
      <c r="E11" s="33"/>
      <c r="F11" s="33"/>
      <c r="G11" s="30"/>
      <c r="H11" s="33"/>
    </row>
    <row r="12" spans="1:8" x14ac:dyDescent="0.25">
      <c r="A12" s="40"/>
      <c r="B12" s="33"/>
      <c r="C12" s="33"/>
      <c r="D12" s="33"/>
      <c r="E12" s="33"/>
      <c r="F12" s="33"/>
      <c r="G12" s="30"/>
      <c r="H12" s="33"/>
    </row>
    <row r="13" spans="1:8" x14ac:dyDescent="0.25">
      <c r="A13" s="40"/>
      <c r="B13" s="33"/>
      <c r="C13" s="33"/>
      <c r="D13" s="33"/>
      <c r="E13" s="33"/>
      <c r="F13" s="33"/>
      <c r="G13" s="30"/>
      <c r="H13" s="33"/>
    </row>
    <row r="14" spans="1:8" x14ac:dyDescent="0.25">
      <c r="A14" s="40"/>
      <c r="B14" s="35"/>
      <c r="C14" s="33"/>
      <c r="D14" s="33"/>
      <c r="E14" s="33"/>
      <c r="F14" s="33"/>
      <c r="G14" s="30"/>
      <c r="H14" s="35"/>
    </row>
    <row r="15" spans="1:8" x14ac:dyDescent="0.25">
      <c r="A15" s="40"/>
      <c r="B15" s="33"/>
      <c r="C15" s="33"/>
      <c r="D15" s="33"/>
      <c r="E15" s="33"/>
      <c r="F15" s="33"/>
      <c r="G15" s="30"/>
      <c r="H15" s="33"/>
    </row>
    <row r="16" spans="1:8" x14ac:dyDescent="0.25">
      <c r="A16" s="40"/>
      <c r="B16" s="33"/>
      <c r="C16" s="33"/>
      <c r="D16" s="33"/>
      <c r="E16" s="33"/>
      <c r="F16" s="33"/>
      <c r="G16" s="30"/>
      <c r="H16" s="33"/>
    </row>
    <row r="17" spans="1:8" x14ac:dyDescent="0.25">
      <c r="A17" s="40"/>
      <c r="B17" s="33"/>
      <c r="C17" s="33"/>
      <c r="D17" s="33"/>
      <c r="E17" s="33"/>
      <c r="F17" s="33"/>
      <c r="G17" s="30"/>
      <c r="H17" s="33"/>
    </row>
    <row r="18" spans="1:8" x14ac:dyDescent="0.25">
      <c r="A18" s="40"/>
      <c r="B18" s="33"/>
      <c r="C18" s="33"/>
      <c r="D18" s="33"/>
      <c r="E18" s="33"/>
      <c r="F18" s="33"/>
      <c r="G18" s="30"/>
      <c r="H18" s="33"/>
    </row>
    <row r="19" spans="1:8" x14ac:dyDescent="0.25">
      <c r="A19" s="40"/>
      <c r="B19" s="33"/>
      <c r="C19" s="33"/>
      <c r="D19" s="33"/>
      <c r="E19" s="33"/>
      <c r="F19" s="33"/>
      <c r="G19" s="30"/>
      <c r="H19" s="33"/>
    </row>
    <row r="20" spans="1:8" x14ac:dyDescent="0.25">
      <c r="A20" s="40"/>
      <c r="B20" s="33"/>
      <c r="C20" s="33"/>
      <c r="D20" s="33"/>
      <c r="E20" s="33"/>
      <c r="F20" s="33"/>
      <c r="G20" s="30"/>
      <c r="H20" s="33"/>
    </row>
    <row r="21" spans="1:8" x14ac:dyDescent="0.25">
      <c r="A21" s="40"/>
      <c r="B21" s="33"/>
      <c r="C21" s="33"/>
      <c r="D21" s="33"/>
      <c r="E21" s="33"/>
      <c r="F21" s="33"/>
      <c r="G21" s="30"/>
      <c r="H21" s="33"/>
    </row>
    <row r="22" spans="1:8" x14ac:dyDescent="0.25">
      <c r="A22" s="40"/>
      <c r="B22" s="33"/>
      <c r="C22" s="33"/>
      <c r="D22" s="33"/>
      <c r="E22" s="33"/>
      <c r="F22" s="33"/>
      <c r="G22" s="30"/>
      <c r="H22" s="33"/>
    </row>
    <row r="23" spans="1:8" x14ac:dyDescent="0.25">
      <c r="A23" s="40"/>
      <c r="B23" s="33"/>
      <c r="C23" s="33"/>
      <c r="D23" s="33"/>
      <c r="E23" s="33"/>
      <c r="F23" s="33"/>
      <c r="G23" s="30"/>
      <c r="H23" s="33"/>
    </row>
    <row r="24" spans="1:8" x14ac:dyDescent="0.25">
      <c r="A24" s="40"/>
      <c r="B24" s="33"/>
      <c r="C24" s="33"/>
      <c r="D24" s="33"/>
      <c r="E24" s="33"/>
      <c r="F24" s="33"/>
      <c r="G24" s="30"/>
      <c r="H24" s="33"/>
    </row>
    <row r="25" spans="1:8" x14ac:dyDescent="0.25">
      <c r="A25" s="40"/>
      <c r="B25" s="33"/>
      <c r="C25" s="33"/>
      <c r="D25" s="33"/>
      <c r="E25" s="33"/>
      <c r="F25" s="33"/>
      <c r="G25" s="30"/>
      <c r="H25" s="33"/>
    </row>
    <row r="26" spans="1:8" x14ac:dyDescent="0.25">
      <c r="A26" s="40"/>
      <c r="B26" s="33"/>
      <c r="C26" s="33"/>
      <c r="D26" s="33"/>
      <c r="E26" s="33"/>
      <c r="F26" s="33"/>
      <c r="G26" s="30"/>
      <c r="H26" s="33"/>
    </row>
    <row r="27" spans="1:8" x14ac:dyDescent="0.25">
      <c r="A27" s="40"/>
      <c r="B27" s="33"/>
      <c r="C27" s="33"/>
      <c r="D27" s="33"/>
      <c r="E27" s="33"/>
      <c r="F27" s="33"/>
      <c r="G27" s="30"/>
      <c r="H27" s="33"/>
    </row>
    <row r="28" spans="1:8" x14ac:dyDescent="0.25">
      <c r="A28" s="40"/>
      <c r="B28" s="33"/>
      <c r="C28" s="33"/>
      <c r="D28" s="33"/>
      <c r="E28" s="33"/>
      <c r="F28" s="33"/>
      <c r="G28" s="30"/>
      <c r="H28" s="33"/>
    </row>
    <row r="29" spans="1:8" x14ac:dyDescent="0.25">
      <c r="A29" s="40"/>
      <c r="B29" s="33"/>
      <c r="C29" s="33"/>
      <c r="D29" s="33"/>
      <c r="E29" s="33"/>
      <c r="F29" s="33"/>
      <c r="G29" s="30"/>
      <c r="H29" s="33"/>
    </row>
    <row r="30" spans="1:8" x14ac:dyDescent="0.25">
      <c r="A30" s="40"/>
      <c r="B30" s="33"/>
      <c r="C30" s="33"/>
      <c r="D30" s="33"/>
      <c r="E30" s="33"/>
      <c r="F30" s="33"/>
      <c r="G30" s="30"/>
      <c r="H30" s="33"/>
    </row>
    <row r="31" spans="1:8" x14ac:dyDescent="0.25">
      <c r="A31" s="40"/>
      <c r="B31" s="33"/>
      <c r="C31" s="33"/>
      <c r="D31" s="33"/>
      <c r="E31" s="33"/>
      <c r="F31" s="33"/>
      <c r="G31" s="30"/>
      <c r="H31" s="33"/>
    </row>
    <row r="32" spans="1:8" x14ac:dyDescent="0.25">
      <c r="A32" s="40"/>
      <c r="B32" s="33"/>
      <c r="C32" s="33"/>
      <c r="D32" s="33"/>
      <c r="E32" s="33"/>
      <c r="F32" s="33"/>
      <c r="G32" s="30"/>
      <c r="H32" s="33"/>
    </row>
    <row r="33" spans="1:8" x14ac:dyDescent="0.25">
      <c r="A33" s="40"/>
      <c r="B33" s="33"/>
      <c r="C33" s="33"/>
      <c r="D33" s="33"/>
      <c r="E33" s="33"/>
      <c r="F33" s="33"/>
      <c r="G33" s="30"/>
      <c r="H33" s="33"/>
    </row>
    <row r="34" spans="1:8" x14ac:dyDescent="0.25">
      <c r="A34" s="40"/>
      <c r="B34" s="33"/>
      <c r="C34" s="33"/>
      <c r="D34" s="33"/>
      <c r="E34" s="33"/>
      <c r="F34" s="33"/>
      <c r="G34" s="30"/>
      <c r="H34" s="33"/>
    </row>
    <row r="35" spans="1:8" x14ac:dyDescent="0.25">
      <c r="A35" s="40"/>
      <c r="B35" s="33"/>
      <c r="C35" s="33"/>
      <c r="D35" s="33"/>
      <c r="E35" s="33"/>
      <c r="F35" s="33"/>
      <c r="G35" s="30"/>
      <c r="H35" s="33"/>
    </row>
    <row r="36" spans="1:8" x14ac:dyDescent="0.25">
      <c r="A36" s="40"/>
      <c r="B36" s="33"/>
      <c r="C36" s="33"/>
      <c r="D36" s="33"/>
      <c r="E36" s="33"/>
      <c r="F36" s="33"/>
      <c r="G36" s="30"/>
      <c r="H36" s="33"/>
    </row>
    <row r="37" spans="1:8" x14ac:dyDescent="0.25">
      <c r="A37" s="40"/>
      <c r="B37" s="33"/>
      <c r="C37" s="33"/>
      <c r="D37" s="33"/>
      <c r="E37" s="33"/>
      <c r="F37" s="33"/>
      <c r="G37" s="30"/>
      <c r="H37" s="33"/>
    </row>
    <row r="38" spans="1:8" x14ac:dyDescent="0.25">
      <c r="A38" s="40"/>
      <c r="B38" s="33"/>
      <c r="C38" s="33"/>
      <c r="D38" s="33"/>
      <c r="E38" s="33"/>
      <c r="F38" s="33"/>
      <c r="G38" s="30"/>
      <c r="H38" s="33"/>
    </row>
    <row r="39" spans="1:8" x14ac:dyDescent="0.25">
      <c r="A39" s="40"/>
      <c r="B39" s="33"/>
      <c r="C39" s="33"/>
      <c r="D39" s="33"/>
      <c r="E39" s="33"/>
      <c r="F39" s="33"/>
      <c r="G39" s="30"/>
      <c r="H39" s="33"/>
    </row>
    <row r="40" spans="1:8" x14ac:dyDescent="0.25">
      <c r="A40" s="40"/>
      <c r="B40" s="33"/>
      <c r="C40" s="33"/>
      <c r="D40" s="33"/>
      <c r="E40" s="33"/>
      <c r="F40" s="33"/>
      <c r="G40" s="30"/>
      <c r="H40" s="33"/>
    </row>
    <row r="41" spans="1:8" x14ac:dyDescent="0.25">
      <c r="A41" s="40"/>
      <c r="B41" s="33"/>
      <c r="C41" s="33"/>
      <c r="D41" s="33"/>
      <c r="E41" s="33"/>
      <c r="F41" s="33"/>
      <c r="G41" s="30"/>
      <c r="H41" s="33"/>
    </row>
    <row r="42" spans="1:8" x14ac:dyDescent="0.25">
      <c r="A42" s="40"/>
      <c r="B42" s="33"/>
      <c r="C42" s="33"/>
      <c r="D42" s="33"/>
      <c r="E42" s="33"/>
      <c r="F42" s="33"/>
      <c r="G42" s="30"/>
      <c r="H42" s="33"/>
    </row>
    <row r="43" spans="1:8" x14ac:dyDescent="0.25">
      <c r="A43" s="40"/>
      <c r="B43" s="35"/>
      <c r="C43" s="33"/>
      <c r="D43" s="33"/>
      <c r="E43" s="33"/>
      <c r="F43" s="33"/>
      <c r="G43" s="30"/>
      <c r="H43" s="35"/>
    </row>
    <row r="44" spans="1:8" x14ac:dyDescent="0.25">
      <c r="A44" s="40"/>
      <c r="B44" s="35"/>
      <c r="C44" s="33"/>
      <c r="D44" s="33"/>
      <c r="E44" s="33"/>
      <c r="F44" s="33"/>
      <c r="G44" s="30"/>
      <c r="H44" s="35"/>
    </row>
    <row r="45" spans="1:8" x14ac:dyDescent="0.25">
      <c r="A45" s="40"/>
      <c r="B45" s="33"/>
      <c r="C45" s="33"/>
      <c r="D45" s="33"/>
      <c r="E45" s="33"/>
      <c r="F45" s="33"/>
      <c r="G45" s="30"/>
      <c r="H45" s="33"/>
    </row>
    <row r="46" spans="1:8" x14ac:dyDescent="0.25">
      <c r="A46" s="40"/>
      <c r="B46" s="33"/>
      <c r="C46" s="33"/>
      <c r="D46" s="33"/>
      <c r="E46" s="33"/>
      <c r="F46" s="33"/>
      <c r="G46" s="30"/>
      <c r="H46" s="33"/>
    </row>
    <row r="47" spans="1:8" x14ac:dyDescent="0.25">
      <c r="A47" s="40"/>
      <c r="B47" s="33"/>
      <c r="C47" s="33"/>
      <c r="D47" s="33"/>
      <c r="E47" s="33"/>
      <c r="F47" s="33"/>
      <c r="G47" s="30"/>
      <c r="H47" s="33"/>
    </row>
    <row r="48" spans="1:8" x14ac:dyDescent="0.25">
      <c r="A48" s="40"/>
      <c r="B48" s="36"/>
      <c r="C48" s="33"/>
      <c r="D48" s="33"/>
      <c r="E48" s="33"/>
      <c r="F48" s="33"/>
      <c r="G48" s="30"/>
      <c r="H48" s="36"/>
    </row>
    <row r="49" spans="1:8" x14ac:dyDescent="0.25">
      <c r="A49" s="40"/>
      <c r="B49" s="33"/>
      <c r="C49" s="33"/>
      <c r="D49" s="33"/>
      <c r="E49" s="33"/>
      <c r="F49" s="33"/>
      <c r="G49" s="30"/>
      <c r="H49" s="33"/>
    </row>
    <row r="50" spans="1:8" x14ac:dyDescent="0.25">
      <c r="A50" s="40"/>
      <c r="B50" s="35"/>
      <c r="C50" s="33"/>
      <c r="D50" s="33"/>
      <c r="E50" s="33"/>
      <c r="F50" s="33"/>
      <c r="G50" s="30"/>
      <c r="H50" s="35"/>
    </row>
    <row r="51" spans="1:8" x14ac:dyDescent="0.25">
      <c r="A51" s="33"/>
      <c r="B51" s="30"/>
      <c r="C51" s="30"/>
      <c r="D51" s="30"/>
      <c r="E51" s="30"/>
      <c r="F51" s="30"/>
      <c r="G51" s="30"/>
      <c r="H51" s="30"/>
    </row>
    <row r="52" spans="1:8" x14ac:dyDescent="0.25">
      <c r="A52" s="33"/>
      <c r="B52" s="41"/>
      <c r="C52" s="30"/>
      <c r="D52" s="41"/>
      <c r="E52" s="41"/>
      <c r="F52" s="30"/>
      <c r="G52" s="30"/>
    </row>
    <row r="53" spans="1:8" x14ac:dyDescent="0.25">
      <c r="A53" s="33"/>
      <c r="B53" s="30"/>
      <c r="C53" s="30"/>
      <c r="D53" s="30"/>
      <c r="E53" s="30"/>
      <c r="F53" s="30"/>
      <c r="G53" s="30"/>
    </row>
    <row r="54" spans="1:8" x14ac:dyDescent="0.25">
      <c r="A54" s="33"/>
      <c r="B54" s="30"/>
      <c r="C54" s="30"/>
      <c r="D54" s="30"/>
      <c r="E54" s="30"/>
      <c r="F54" s="30"/>
      <c r="G54" s="30"/>
    </row>
    <row r="55" spans="1:8" x14ac:dyDescent="0.25">
      <c r="A55" s="33"/>
      <c r="B55" s="30"/>
      <c r="C55" s="30"/>
      <c r="D55" s="30"/>
      <c r="E55" s="30"/>
      <c r="F55" s="30"/>
      <c r="G55" s="30"/>
    </row>
    <row r="56" spans="1:8" x14ac:dyDescent="0.25">
      <c r="A56" s="33"/>
      <c r="B56" s="30"/>
      <c r="C56" s="30"/>
      <c r="D56" s="30"/>
      <c r="E56" s="30"/>
      <c r="F56" s="30"/>
      <c r="G56" s="3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D22" sqref="D22"/>
    </sheetView>
  </sheetViews>
  <sheetFormatPr defaultColWidth="11" defaultRowHeight="15.75" x14ac:dyDescent="0.25"/>
  <cols>
    <col min="3" max="3" width="11.875" bestFit="1" customWidth="1"/>
  </cols>
  <sheetData>
    <row r="1" spans="2:4" x14ac:dyDescent="0.25">
      <c r="B1" t="s">
        <v>102</v>
      </c>
      <c r="C1" t="s">
        <v>90</v>
      </c>
      <c r="D1" t="s">
        <v>92</v>
      </c>
    </row>
    <row r="2" spans="2:4" x14ac:dyDescent="0.25">
      <c r="B2" s="42">
        <f>COUNTIF(Data!C2:C51,"*walt*")</f>
        <v>25</v>
      </c>
      <c r="C2">
        <f>GETPIVOTDATA("Sum of $937,000,000",Sheet2!$A$3,"Walt Disney Studios Motion Pictures","Walt Disney Studios Motion Pictures")</f>
        <v>11669013994</v>
      </c>
      <c r="D2" t="s">
        <v>93</v>
      </c>
    </row>
    <row r="3" spans="2:4" x14ac:dyDescent="0.25">
      <c r="B3" s="42">
        <f>COUNTIF(Data!C2:C52,"*Twentieth*")</f>
        <v>4</v>
      </c>
      <c r="C3">
        <f>GETPIVOTDATA("Sum of $937,000,000",Sheet2!$A$3,"Walt Disney Studios Motion Pictures","Twentieth Century Fox")</f>
        <v>1868000000</v>
      </c>
      <c r="D3" t="s">
        <v>94</v>
      </c>
    </row>
    <row r="4" spans="2:4" x14ac:dyDescent="0.25">
      <c r="B4" s="42">
        <f>COUNTIF(Data!C2:C53,"*Paramount*")</f>
        <v>1</v>
      </c>
      <c r="C4">
        <f>GETPIVOTDATA("Sum of $937,000,000",Sheet2!$A$3,"Walt Disney Studios Motion Pictures","Paramount Pictures")</f>
        <v>601000000</v>
      </c>
      <c r="D4" t="s">
        <v>95</v>
      </c>
    </row>
    <row r="5" spans="2:4" x14ac:dyDescent="0.25">
      <c r="B5" s="42">
        <f>COUNTIF(Data!C2:C54,"*Universal*")</f>
        <v>6</v>
      </c>
      <c r="C5">
        <f>GETPIVOTDATA("Sum of $245,000,000",Sheet2!$A$3,"Walt Disney Studios Motion Pictures","Universal Pictures")</f>
        <v>545000000</v>
      </c>
      <c r="D5" t="s">
        <v>96</v>
      </c>
    </row>
    <row r="6" spans="2:4" x14ac:dyDescent="0.25">
      <c r="B6" s="42">
        <f>COUNTIF(Data!C2:C55,"*Warner*")</f>
        <v>4</v>
      </c>
      <c r="C6">
        <f>GETPIVOTDATA("Sum of $937,000,000",Sheet2!$A$3,"Walt Disney Studios Motion Pictures","Warner Bros.")</f>
        <v>1775000000</v>
      </c>
      <c r="D6" t="s">
        <v>97</v>
      </c>
    </row>
    <row r="7" spans="2:4" x14ac:dyDescent="0.25">
      <c r="B7" s="42">
        <f>COUNTIF(Data!C2:C56,"*DreamWorks*")</f>
        <v>2</v>
      </c>
      <c r="C7">
        <f>GETPIVOTDATA("Sum of $937,000,000",Sheet2!$A$3,"Walt Disney Studios Motion Pictures","DreamWorks Distribution")</f>
        <v>843000000</v>
      </c>
      <c r="D7" t="s">
        <v>98</v>
      </c>
    </row>
    <row r="8" spans="2:4" x14ac:dyDescent="0.25">
      <c r="B8" s="42">
        <f>COUNTIF(Data!C2:C57,"*Lionsgate*")</f>
        <v>2</v>
      </c>
      <c r="C8">
        <f>GETPIVOTDATA("Sum of $937,000,000",Sheet2!$A$3,"Walt Disney Studios Motion Pictures","Lionsgate")</f>
        <v>833000000</v>
      </c>
      <c r="D8" t="s">
        <v>53</v>
      </c>
    </row>
    <row r="9" spans="2:4" x14ac:dyDescent="0.25">
      <c r="B9" s="42">
        <f>COUNTIF(Data!C8:C58,"*Sony*")</f>
        <v>4</v>
      </c>
      <c r="C9">
        <f>GETPIVOTDATA("Sum of $937,000,000",Sheet2!$A$3,"Walt Disney Studios Motion Pictures","Sony Pictures Releasing")</f>
        <v>1574000000</v>
      </c>
      <c r="D9" t="s">
        <v>99</v>
      </c>
    </row>
    <row r="10" spans="2:4" x14ac:dyDescent="0.25">
      <c r="B10" s="42">
        <f>COUNTIF(Data!C2:C59,"*New Line*")</f>
        <v>1</v>
      </c>
      <c r="C10">
        <f>GETPIVOTDATA("Sum of $937,000,000",Sheet2!$A$3,"Walt Disney Studios Motion Pictures","New Line Cinema")</f>
        <v>377000000</v>
      </c>
      <c r="D10" t="s">
        <v>100</v>
      </c>
    </row>
    <row r="11" spans="2:4" x14ac:dyDescent="0.25">
      <c r="B11" s="42">
        <f>COUNTIF(Data!C10:C60,"*Newmarket*")</f>
        <v>1</v>
      </c>
      <c r="C11">
        <f>GETPIVOTDATA("Sum of $937,000,000",Sheet2!$A$3,"Walt Disney Studios Motion Pictures","Newmarket Films ")</f>
        <v>370000000</v>
      </c>
      <c r="D11" t="s">
        <v>101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6" sqref="B16"/>
    </sheetView>
  </sheetViews>
  <sheetFormatPr defaultColWidth="11" defaultRowHeight="15.75" x14ac:dyDescent="0.25"/>
  <cols>
    <col min="2" max="2" width="11.875" bestFit="1" customWidth="1"/>
  </cols>
  <sheetData>
    <row r="1" spans="1:3" x14ac:dyDescent="0.25">
      <c r="A1" t="s">
        <v>92</v>
      </c>
      <c r="B1" t="s">
        <v>90</v>
      </c>
      <c r="C1" t="s">
        <v>102</v>
      </c>
    </row>
    <row r="2" spans="1:3" x14ac:dyDescent="0.25">
      <c r="A2" t="s">
        <v>93</v>
      </c>
      <c r="B2">
        <f>GETPIVOTDATA("Sum of $937,000,000",Sheet2!$A$3,"Walt Disney Studios Motion Pictures","Walt Disney Studios Motion Pictures")</f>
        <v>11669013994</v>
      </c>
      <c r="C2" s="42">
        <f>COUNTIF(Data!C2:C51,"*walt*")</f>
        <v>25</v>
      </c>
    </row>
    <row r="3" spans="1:3" x14ac:dyDescent="0.25">
      <c r="A3" t="s">
        <v>94</v>
      </c>
      <c r="B3">
        <f>GETPIVOTDATA("Sum of $937,000,000",Sheet2!$A$3,"Walt Disney Studios Motion Pictures","Twentieth Century Fox")</f>
        <v>1868000000</v>
      </c>
      <c r="C3" s="42">
        <f>COUNTIF(Data!C2:C52,"*Twentieth*")</f>
        <v>4</v>
      </c>
    </row>
    <row r="4" spans="1:3" x14ac:dyDescent="0.25">
      <c r="A4" t="s">
        <v>95</v>
      </c>
      <c r="B4">
        <f>GETPIVOTDATA("Sum of $937,000,000",Sheet2!$A$3,"Walt Disney Studios Motion Pictures","Paramount Pictures")</f>
        <v>601000000</v>
      </c>
      <c r="C4" s="42">
        <f>COUNTIF(Data!C2:C53,"*Paramount*")</f>
        <v>1</v>
      </c>
    </row>
    <row r="5" spans="1:3" x14ac:dyDescent="0.25">
      <c r="A5" t="s">
        <v>96</v>
      </c>
      <c r="B5">
        <f>GETPIVOTDATA("Sum of $245,000,000",Sheet2!$A$3,"Walt Disney Studios Motion Pictures","Universal Pictures")</f>
        <v>545000000</v>
      </c>
      <c r="C5" s="42">
        <f>COUNTIF(Data!C2:C54,"*Universal*")</f>
        <v>6</v>
      </c>
    </row>
    <row r="6" spans="1:3" x14ac:dyDescent="0.25">
      <c r="A6" t="s">
        <v>97</v>
      </c>
      <c r="B6">
        <f>GETPIVOTDATA("Sum of $937,000,000",Sheet2!$A$3,"Walt Disney Studios Motion Pictures","Warner Bros.")</f>
        <v>1775000000</v>
      </c>
      <c r="C6" s="42">
        <f>COUNTIF(Data!C2:C55,"*Warner*")</f>
        <v>4</v>
      </c>
    </row>
    <row r="7" spans="1:3" x14ac:dyDescent="0.25">
      <c r="A7" t="s">
        <v>98</v>
      </c>
      <c r="B7">
        <f>GETPIVOTDATA("Sum of $937,000,000",Sheet2!$A$3,"Walt Disney Studios Motion Pictures","DreamWorks Distribution")</f>
        <v>843000000</v>
      </c>
      <c r="C7" s="42">
        <f>COUNTIF(Data!C2:C56,"*DreamWorks*")</f>
        <v>2</v>
      </c>
    </row>
    <row r="8" spans="1:3" x14ac:dyDescent="0.25">
      <c r="A8" t="s">
        <v>53</v>
      </c>
      <c r="B8">
        <f>GETPIVOTDATA("Sum of $937,000,000",Sheet2!$A$3,"Walt Disney Studios Motion Pictures","Lionsgate")</f>
        <v>833000000</v>
      </c>
      <c r="C8" s="42">
        <f>COUNTIF(Data!C2:C57,"*Lionsgate*")</f>
        <v>2</v>
      </c>
    </row>
    <row r="9" spans="1:3" x14ac:dyDescent="0.25">
      <c r="A9" t="s">
        <v>99</v>
      </c>
      <c r="B9">
        <f>GETPIVOTDATA("Sum of $937,000,000",Sheet2!$A$3,"Walt Disney Studios Motion Pictures","Sony Pictures Releasing")</f>
        <v>1574000000</v>
      </c>
      <c r="C9" s="42">
        <f>COUNTIF(Data!C8:C58,"*Sony*")</f>
        <v>4</v>
      </c>
    </row>
    <row r="10" spans="1:3" x14ac:dyDescent="0.25">
      <c r="A10" t="s">
        <v>100</v>
      </c>
      <c r="B10">
        <f>GETPIVOTDATA("Sum of $937,000,000",Sheet2!$A$3,"Walt Disney Studios Motion Pictures","New Line Cinema")</f>
        <v>377000000</v>
      </c>
      <c r="C10" s="42">
        <f>COUNTIF(Data!C2:C59,"*New Line*")</f>
        <v>1</v>
      </c>
    </row>
    <row r="11" spans="1:3" x14ac:dyDescent="0.25">
      <c r="A11" t="s">
        <v>101</v>
      </c>
      <c r="B11">
        <f>GETPIVOTDATA("Sum of $937,000,000",Sheet2!$A$3,"Walt Disney Studios Motion Pictures","Newmarket Films ")</f>
        <v>370000000</v>
      </c>
      <c r="C11" s="42">
        <f>COUNTIF(Data!C10:C60,"*Newmarket*")</f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" sqref="B2:B6"/>
    </sheetView>
  </sheetViews>
  <sheetFormatPr defaultColWidth="11" defaultRowHeight="15.75" x14ac:dyDescent="0.25"/>
  <sheetData>
    <row r="1" spans="1:2" ht="16.5" thickBot="1" x14ac:dyDescent="0.3">
      <c r="A1" t="s">
        <v>115</v>
      </c>
      <c r="B1" t="s">
        <v>116</v>
      </c>
    </row>
    <row r="2" spans="1:2" ht="32.25" thickBot="1" x14ac:dyDescent="0.3">
      <c r="A2" s="37" t="s">
        <v>82</v>
      </c>
      <c r="B2">
        <f>Data!O2</f>
        <v>46</v>
      </c>
    </row>
    <row r="3" spans="1:2" ht="16.5" thickBot="1" x14ac:dyDescent="0.3">
      <c r="A3" s="5" t="s">
        <v>83</v>
      </c>
      <c r="B3">
        <f>Data!O3</f>
        <v>30</v>
      </c>
    </row>
    <row r="4" spans="1:2" ht="16.5" thickBot="1" x14ac:dyDescent="0.3">
      <c r="A4" s="5" t="s">
        <v>84</v>
      </c>
      <c r="B4">
        <f>Data!O4</f>
        <v>9</v>
      </c>
    </row>
    <row r="5" spans="1:2" ht="16.5" thickBot="1" x14ac:dyDescent="0.3">
      <c r="A5" s="5" t="s">
        <v>85</v>
      </c>
      <c r="B5">
        <f>Data!O5</f>
        <v>12</v>
      </c>
    </row>
    <row r="6" spans="1:2" ht="16.5" thickBot="1" x14ac:dyDescent="0.3">
      <c r="A6" s="38" t="s">
        <v>86</v>
      </c>
      <c r="B6">
        <f>Data!O6</f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2" sqref="D12"/>
    </sheetView>
  </sheetViews>
  <sheetFormatPr defaultColWidth="11" defaultRowHeight="15.75" x14ac:dyDescent="0.25"/>
  <sheetData>
    <row r="1" spans="1:2" x14ac:dyDescent="0.25">
      <c r="A1" t="s">
        <v>110</v>
      </c>
      <c r="B1" t="s">
        <v>111</v>
      </c>
    </row>
    <row r="2" spans="1:2" x14ac:dyDescent="0.25">
      <c r="A2" s="8" t="s">
        <v>12</v>
      </c>
      <c r="B2">
        <f>COUNTIF(Data!E2:E51,"*PG - 13*")</f>
        <v>33</v>
      </c>
    </row>
    <row r="3" spans="1:2" x14ac:dyDescent="0.25">
      <c r="A3" s="1" t="s">
        <v>78</v>
      </c>
      <c r="B3">
        <f>COUNTIF(Data!E2:E52,"*PG.*")</f>
        <v>12</v>
      </c>
    </row>
    <row r="4" spans="1:2" x14ac:dyDescent="0.25">
      <c r="A4" s="1" t="s">
        <v>50</v>
      </c>
      <c r="B4">
        <f>COUNTIF(Data!E2:E53,"*.G*")</f>
        <v>4</v>
      </c>
    </row>
    <row r="5" spans="1:2" x14ac:dyDescent="0.25">
      <c r="A5" s="1" t="s">
        <v>34</v>
      </c>
      <c r="B5">
        <f>COUNTIF(Data!E2:E54,"*R*")</f>
        <v>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workbookViewId="0">
      <selection activeCell="B9" sqref="B9"/>
    </sheetView>
  </sheetViews>
  <sheetFormatPr defaultRowHeight="15.75" x14ac:dyDescent="0.25"/>
  <cols>
    <col min="1" max="1" width="12.375" bestFit="1" customWidth="1"/>
    <col min="2" max="2" width="18.625" bestFit="1" customWidth="1"/>
    <col min="3" max="10" width="10.875" bestFit="1" customWidth="1"/>
    <col min="11" max="31" width="11.875" bestFit="1" customWidth="1"/>
    <col min="32" max="32" width="11" bestFit="1" customWidth="1"/>
  </cols>
  <sheetData>
    <row r="3" spans="1:2" x14ac:dyDescent="0.25">
      <c r="A3" s="44" t="s">
        <v>105</v>
      </c>
      <c r="B3" t="s">
        <v>106</v>
      </c>
    </row>
    <row r="4" spans="1:2" x14ac:dyDescent="0.25">
      <c r="A4" s="16" t="s">
        <v>42</v>
      </c>
      <c r="B4" s="45">
        <v>475000000</v>
      </c>
    </row>
    <row r="5" spans="1:2" x14ac:dyDescent="0.25">
      <c r="A5" s="16" t="s">
        <v>36</v>
      </c>
      <c r="B5" s="45">
        <v>1159000000</v>
      </c>
    </row>
    <row r="6" spans="1:2" x14ac:dyDescent="0.25">
      <c r="A6" s="16" t="s">
        <v>46</v>
      </c>
      <c r="B6" s="45">
        <v>150000000</v>
      </c>
    </row>
    <row r="7" spans="1:2" x14ac:dyDescent="0.25">
      <c r="A7" s="16" t="s">
        <v>27</v>
      </c>
      <c r="B7" s="45">
        <v>476000000</v>
      </c>
    </row>
    <row r="8" spans="1:2" x14ac:dyDescent="0.25">
      <c r="A8" s="16" t="s">
        <v>29</v>
      </c>
      <c r="B8" s="45">
        <v>1009000000</v>
      </c>
    </row>
    <row r="9" spans="1:2" x14ac:dyDescent="0.25">
      <c r="A9" s="16" t="s">
        <v>14</v>
      </c>
      <c r="B9" s="45">
        <v>356000000</v>
      </c>
    </row>
    <row r="10" spans="1:2" x14ac:dyDescent="0.25">
      <c r="A10" s="16" t="s">
        <v>11</v>
      </c>
      <c r="B10" s="45">
        <v>4305000000</v>
      </c>
    </row>
    <row r="11" spans="1:2" x14ac:dyDescent="0.25">
      <c r="A11" s="16" t="s">
        <v>21</v>
      </c>
      <c r="B11" s="45">
        <v>230000000</v>
      </c>
    </row>
    <row r="12" spans="1:2" x14ac:dyDescent="0.25">
      <c r="A12" s="16" t="s">
        <v>34</v>
      </c>
      <c r="B12" s="45">
        <v>160000000</v>
      </c>
    </row>
    <row r="13" spans="1:2" x14ac:dyDescent="0.25">
      <c r="A13" s="16" t="s">
        <v>48</v>
      </c>
      <c r="B13" s="45">
        <v>11000000</v>
      </c>
    </row>
    <row r="14" spans="1:2" x14ac:dyDescent="0.25">
      <c r="A14" s="16" t="s">
        <v>104</v>
      </c>
      <c r="B14" s="45">
        <v>8331000000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3"/>
  <sheetViews>
    <sheetView tabSelected="1" workbookViewId="0">
      <selection activeCell="B26" sqref="B26"/>
    </sheetView>
  </sheetViews>
  <sheetFormatPr defaultRowHeight="15.75" x14ac:dyDescent="0.25"/>
  <cols>
    <col min="1" max="1" width="31" bestFit="1" customWidth="1"/>
    <col min="2" max="2" width="14.25" bestFit="1" customWidth="1"/>
  </cols>
  <sheetData>
    <row r="3" spans="1:2" x14ac:dyDescent="0.25">
      <c r="A3" s="44" t="s">
        <v>105</v>
      </c>
      <c r="B3" t="s">
        <v>137</v>
      </c>
    </row>
    <row r="4" spans="1:2" x14ac:dyDescent="0.25">
      <c r="A4" s="16" t="s">
        <v>45</v>
      </c>
      <c r="B4" s="45">
        <v>2</v>
      </c>
    </row>
    <row r="5" spans="1:2" x14ac:dyDescent="0.25">
      <c r="A5" s="16" t="s">
        <v>53</v>
      </c>
      <c r="B5" s="45">
        <v>2</v>
      </c>
    </row>
    <row r="6" spans="1:2" x14ac:dyDescent="0.25">
      <c r="A6" s="16" t="s">
        <v>72</v>
      </c>
      <c r="B6" s="45">
        <v>1</v>
      </c>
    </row>
    <row r="7" spans="1:2" x14ac:dyDescent="0.25">
      <c r="A7" s="16" t="s">
        <v>75</v>
      </c>
      <c r="B7" s="45">
        <v>1</v>
      </c>
    </row>
    <row r="8" spans="1:2" x14ac:dyDescent="0.25">
      <c r="A8" s="16" t="s">
        <v>20</v>
      </c>
      <c r="B8" s="45">
        <v>1</v>
      </c>
    </row>
    <row r="9" spans="1:2" x14ac:dyDescent="0.25">
      <c r="A9" s="16" t="s">
        <v>63</v>
      </c>
      <c r="B9" s="45">
        <v>4</v>
      </c>
    </row>
    <row r="10" spans="1:2" x14ac:dyDescent="0.25">
      <c r="A10" s="16" t="s">
        <v>16</v>
      </c>
      <c r="B10" s="45">
        <v>4</v>
      </c>
    </row>
    <row r="11" spans="1:2" x14ac:dyDescent="0.25">
      <c r="A11" s="16" t="s">
        <v>23</v>
      </c>
      <c r="B11" s="45">
        <v>6</v>
      </c>
    </row>
    <row r="12" spans="1:2" x14ac:dyDescent="0.25">
      <c r="A12" s="16" t="s">
        <v>10</v>
      </c>
      <c r="B12" s="45">
        <v>24</v>
      </c>
    </row>
    <row r="13" spans="1:2" x14ac:dyDescent="0.25">
      <c r="A13" s="16" t="s">
        <v>31</v>
      </c>
      <c r="B13" s="45">
        <v>4</v>
      </c>
    </row>
    <row r="14" spans="1:2" x14ac:dyDescent="0.25">
      <c r="A14" s="16" t="s">
        <v>104</v>
      </c>
      <c r="B14" s="45">
        <v>49</v>
      </c>
    </row>
    <row r="16" spans="1:2" x14ac:dyDescent="0.25">
      <c r="A16" s="1">
        <f>COUNTIF(Data!G2:G51,"&lt;$300,000,000")</f>
        <v>1</v>
      </c>
    </row>
    <row r="17" spans="1:1" x14ac:dyDescent="0.25">
      <c r="A17" s="1">
        <f>COUNTIF(Data!G2:G51,"&lt;$400,000,000")</f>
        <v>15</v>
      </c>
    </row>
    <row r="18" spans="1:1" x14ac:dyDescent="0.25">
      <c r="A18" s="1">
        <f>COUNTIF(Data!G2:G51,"&lt;$500,000,000")</f>
        <v>35</v>
      </c>
    </row>
    <row r="19" spans="1:1" x14ac:dyDescent="0.25">
      <c r="A19" s="47">
        <f>COUNTIF(Data!G2:G51,"&lt;$600,000,000")</f>
        <v>40</v>
      </c>
    </row>
    <row r="20" spans="1:1" x14ac:dyDescent="0.25">
      <c r="A20" s="1">
        <f>COUNTIF(Data!G2:G51,"&lt;$700,000,000")</f>
        <v>46</v>
      </c>
    </row>
    <row r="21" spans="1:1" x14ac:dyDescent="0.25">
      <c r="A21" s="1">
        <f>COUNTIF(Data!G2:G51,"&lt;$800,000,000")</f>
        <v>48</v>
      </c>
    </row>
    <row r="22" spans="1:1" x14ac:dyDescent="0.25">
      <c r="A22" s="1">
        <f>COUNTIF(Data!G2:G51,"&lt;$800,000,000")</f>
        <v>48</v>
      </c>
    </row>
    <row r="23" spans="1:1" x14ac:dyDescent="0.25">
      <c r="A23" s="1">
        <f>COUNTIF(Data!G2:G51,"&lt;$1000,000,000")</f>
        <v>50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"/>
    </sheetView>
  </sheetViews>
  <sheetFormatPr defaultColWidth="11" defaultRowHeight="15.75" x14ac:dyDescent="0.25"/>
  <cols>
    <col min="1" max="1" width="57.625" customWidth="1"/>
  </cols>
  <sheetData>
    <row r="1" spans="1:1" ht="101.25" customHeight="1" x14ac:dyDescent="0.25">
      <c r="A1" s="4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Sheet2</vt:lpstr>
      <vt:lpstr>Data</vt:lpstr>
      <vt:lpstr>Successful Genres (# of films)</vt:lpstr>
      <vt:lpstr>Successful Genres (revenue)</vt:lpstr>
      <vt:lpstr>Time Series Chart</vt:lpstr>
      <vt:lpstr>Most Successful Studios</vt:lpstr>
      <vt:lpstr>Genre Distribution</vt:lpstr>
      <vt:lpstr>Rating Breakdown</vt:lpstr>
      <vt:lpstr># of Blockbusters</vt:lpstr>
      <vt:lpstr>300M - 100M</vt:lpstr>
      <vt:lpstr>Interpretation of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Yazmeen Wahdat</dc:creator>
  <cp:lastModifiedBy>admin</cp:lastModifiedBy>
  <dcterms:created xsi:type="dcterms:W3CDTF">2020-05-01T23:13:36Z</dcterms:created>
  <dcterms:modified xsi:type="dcterms:W3CDTF">2020-05-04T06:35:50Z</dcterms:modified>
</cp:coreProperties>
</file>