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\Downloads\"/>
    </mc:Choice>
  </mc:AlternateContent>
  <xr:revisionPtr revIDLastSave="0" documentId="13_ncr:1_{C93F46AC-FA61-433D-905E-E46602EBC7A9}" xr6:coauthVersionLast="46" xr6:coauthVersionMax="46" xr10:uidLastSave="{00000000-0000-0000-0000-000000000000}"/>
  <bookViews>
    <workbookView xWindow="-120" yWindow="-120" windowWidth="20730" windowHeight="11310" firstSheet="3" activeTab="9" xr2:uid="{43638B18-FEA5-4B35-ADE3-BF1955738BD5}"/>
  </bookViews>
  <sheets>
    <sheet name="Question 1" sheetId="1" r:id="rId1"/>
    <sheet name="Question 2" sheetId="2" r:id="rId2"/>
    <sheet name="Question 3" sheetId="3" r:id="rId3"/>
    <sheet name="Question 4" sheetId="10" r:id="rId4"/>
    <sheet name="Question 5" sheetId="4" r:id="rId5"/>
    <sheet name="Question 6" sheetId="5" r:id="rId6"/>
    <sheet name="Question 7" sheetId="6" r:id="rId7"/>
    <sheet name="Question 8" sheetId="7" r:id="rId8"/>
    <sheet name="Question 9" sheetId="8" r:id="rId9"/>
    <sheet name="Question 10" sheetId="9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6" i="7"/>
  <c r="G7" i="7"/>
  <c r="G4" i="7"/>
  <c r="F5" i="7"/>
  <c r="F6" i="7"/>
  <c r="F7" i="7"/>
  <c r="F4" i="7"/>
  <c r="H17" i="7"/>
  <c r="H16" i="7"/>
  <c r="G17" i="7"/>
  <c r="G16" i="7"/>
  <c r="F17" i="7"/>
  <c r="F16" i="7"/>
  <c r="E17" i="7"/>
  <c r="E16" i="7"/>
  <c r="E5" i="7"/>
  <c r="E6" i="7"/>
  <c r="E7" i="7"/>
  <c r="E4" i="7"/>
  <c r="C52" i="4"/>
  <c r="F35" i="4"/>
  <c r="F36" i="4"/>
  <c r="F37" i="4"/>
  <c r="F38" i="4"/>
  <c r="F39" i="4"/>
  <c r="F40" i="4"/>
  <c r="F41" i="4"/>
  <c r="F34" i="4"/>
  <c r="G5" i="4"/>
  <c r="G6" i="4"/>
  <c r="G7" i="4"/>
  <c r="H7" i="4" s="1"/>
  <c r="G8" i="4"/>
  <c r="G9" i="4"/>
  <c r="G10" i="4"/>
  <c r="G11" i="4"/>
  <c r="H11" i="4" s="1"/>
  <c r="G4" i="4"/>
  <c r="D5" i="4"/>
  <c r="D6" i="4"/>
  <c r="D7" i="4"/>
  <c r="D8" i="4"/>
  <c r="D9" i="4"/>
  <c r="D10" i="4"/>
  <c r="D11" i="4"/>
  <c r="D4" i="4"/>
  <c r="B42" i="2"/>
  <c r="B40" i="2"/>
  <c r="B34" i="2"/>
  <c r="B32" i="2"/>
  <c r="B26" i="2"/>
  <c r="B24" i="2"/>
  <c r="B18" i="2"/>
  <c r="B16" i="2"/>
  <c r="B38" i="2"/>
  <c r="B30" i="2"/>
  <c r="B22" i="2"/>
  <c r="B14" i="2"/>
  <c r="E20" i="10"/>
  <c r="C17" i="10"/>
  <c r="D17" i="10"/>
  <c r="B17" i="10"/>
  <c r="E15" i="10"/>
  <c r="E16" i="10"/>
  <c r="E14" i="10"/>
  <c r="B46" i="9"/>
  <c r="B52" i="9"/>
  <c r="B42" i="9"/>
  <c r="C10" i="9"/>
  <c r="C11" i="9"/>
  <c r="C12" i="9"/>
  <c r="C13" i="9"/>
  <c r="C9" i="9"/>
  <c r="B10" i="9"/>
  <c r="B11" i="9"/>
  <c r="B12" i="9"/>
  <c r="B13" i="9"/>
  <c r="B9" i="9"/>
  <c r="B14" i="8"/>
  <c r="B10" i="8"/>
  <c r="B9" i="8"/>
  <c r="B8" i="8"/>
  <c r="B4" i="8"/>
  <c r="H6" i="7"/>
  <c r="H7" i="7"/>
  <c r="H5" i="7"/>
  <c r="H4" i="7"/>
  <c r="B31" i="6"/>
  <c r="B30" i="6"/>
  <c r="B32" i="6" s="1"/>
  <c r="B27" i="6"/>
  <c r="B26" i="6"/>
  <c r="B25" i="6"/>
  <c r="B21" i="6"/>
  <c r="B20" i="6"/>
  <c r="B19" i="6"/>
  <c r="B18" i="6"/>
  <c r="B16" i="6"/>
  <c r="B14" i="6"/>
  <c r="B11" i="6"/>
  <c r="B10" i="6"/>
  <c r="B9" i="6"/>
  <c r="B6" i="6"/>
  <c r="G3" i="5"/>
  <c r="G4" i="5"/>
  <c r="G5" i="5"/>
  <c r="G6" i="5"/>
  <c r="G2" i="5"/>
  <c r="F3" i="5"/>
  <c r="F4" i="5"/>
  <c r="F5" i="5"/>
  <c r="F6" i="5"/>
  <c r="F2" i="5"/>
  <c r="D3" i="5"/>
  <c r="D4" i="5"/>
  <c r="D5" i="5"/>
  <c r="D6" i="5"/>
  <c r="D2" i="5"/>
  <c r="A23" i="3"/>
  <c r="A24" i="3"/>
  <c r="A22" i="3"/>
  <c r="A21" i="3"/>
  <c r="A20" i="3"/>
  <c r="A19" i="3"/>
  <c r="C6" i="3"/>
  <c r="D6" i="3"/>
  <c r="E6" i="3"/>
  <c r="F6" i="3"/>
  <c r="G6" i="3"/>
  <c r="B6" i="3"/>
  <c r="B13" i="3" s="1"/>
  <c r="B11" i="2"/>
  <c r="J7" i="1"/>
  <c r="G8" i="1"/>
  <c r="I8" i="1" s="1"/>
  <c r="G9" i="1"/>
  <c r="G7" i="1"/>
  <c r="I7" i="1" s="1"/>
  <c r="D9" i="1"/>
  <c r="J9" i="1" s="1"/>
  <c r="D10" i="1"/>
  <c r="J10" i="1" s="1"/>
  <c r="D8" i="1"/>
  <c r="J8" i="1" s="1"/>
  <c r="E7" i="1"/>
  <c r="H7" i="1" s="1"/>
  <c r="K7" i="1" s="1"/>
  <c r="E8" i="1" l="1"/>
  <c r="F8" i="1" s="1"/>
  <c r="E10" i="1"/>
  <c r="F10" i="1" s="1"/>
  <c r="G10" i="1" s="1"/>
  <c r="F7" i="1"/>
  <c r="I9" i="1"/>
  <c r="H8" i="1"/>
  <c r="K8" i="1" s="1"/>
  <c r="E9" i="1"/>
  <c r="F9" i="1" s="1"/>
  <c r="H9" i="4"/>
  <c r="H5" i="4"/>
  <c r="H10" i="4"/>
  <c r="H8" i="4"/>
  <c r="H6" i="4"/>
  <c r="B45" i="2"/>
  <c r="B19" i="3"/>
  <c r="C15" i="3"/>
  <c r="B21" i="3" s="1"/>
  <c r="C14" i="3"/>
  <c r="D18" i="3" s="1"/>
  <c r="B24" i="3" s="1"/>
  <c r="H10" i="1" l="1"/>
  <c r="I10" i="1"/>
  <c r="B13" i="1"/>
  <c r="H9" i="1"/>
  <c r="K9" i="1" s="1"/>
  <c r="D16" i="3"/>
  <c r="B22" i="3" s="1"/>
  <c r="D17" i="3"/>
  <c r="B23" i="3" s="1"/>
  <c r="B20" i="3"/>
  <c r="K10" i="1" l="1"/>
  <c r="B16" i="1" s="1"/>
</calcChain>
</file>

<file path=xl/sharedStrings.xml><?xml version="1.0" encoding="utf-8"?>
<sst xmlns="http://schemas.openxmlformats.org/spreadsheetml/2006/main" count="291" uniqueCount="193">
  <si>
    <t>Annual Demand</t>
  </si>
  <si>
    <t>Ordering cost</t>
  </si>
  <si>
    <t>Holding Cost %</t>
  </si>
  <si>
    <t>EOQ</t>
  </si>
  <si>
    <t>Annual Holding Cost</t>
  </si>
  <si>
    <t>Annual Ordering Cost</t>
  </si>
  <si>
    <t>TCI</t>
  </si>
  <si>
    <t>X</t>
  </si>
  <si>
    <t>Min</t>
  </si>
  <si>
    <t>Max</t>
  </si>
  <si>
    <t>Unit Cost</t>
  </si>
  <si>
    <t>Holding Cost</t>
  </si>
  <si>
    <t>Q</t>
  </si>
  <si>
    <t>Feasible Q</t>
  </si>
  <si>
    <t>AHC</t>
  </si>
  <si>
    <t>AOC</t>
  </si>
  <si>
    <t>APC</t>
  </si>
  <si>
    <t>+</t>
  </si>
  <si>
    <t>Optimal Order Quantity</t>
  </si>
  <si>
    <t>Total cost for optimal quantity</t>
  </si>
  <si>
    <t>unit disk take (hours)</t>
  </si>
  <si>
    <t>Inventory cost</t>
  </si>
  <si>
    <t>Beginning inventory</t>
  </si>
  <si>
    <t>Sales (Q 1&amp; 2)</t>
  </si>
  <si>
    <t>Total inventory for year</t>
  </si>
  <si>
    <t>inventory carrying cost</t>
  </si>
  <si>
    <t>Item</t>
  </si>
  <si>
    <t>Total on hand</t>
  </si>
  <si>
    <t>Safety stock</t>
  </si>
  <si>
    <t>Allocated</t>
  </si>
  <si>
    <t>Scheduled receipts</t>
  </si>
  <si>
    <t>Total Available</t>
  </si>
  <si>
    <t>Toy car</t>
  </si>
  <si>
    <t>Body assembly</t>
  </si>
  <si>
    <t>Wheels</t>
  </si>
  <si>
    <t>Hood</t>
  </si>
  <si>
    <t>Sides</t>
  </si>
  <si>
    <t>Trunk</t>
  </si>
  <si>
    <t>Demand</t>
  </si>
  <si>
    <t>Net Body assembly required</t>
  </si>
  <si>
    <t>Net Wheels required</t>
  </si>
  <si>
    <t>Net Hoods required</t>
  </si>
  <si>
    <t>Net sides required</t>
  </si>
  <si>
    <t>Net trunk reqired</t>
  </si>
  <si>
    <t>Net toy car required</t>
  </si>
  <si>
    <t>Job</t>
  </si>
  <si>
    <t>Job processing time (hours)</t>
  </si>
  <si>
    <t>due date (hours)</t>
  </si>
  <si>
    <t>Remaining time</t>
  </si>
  <si>
    <t>Critical ratio</t>
  </si>
  <si>
    <t>slack time</t>
  </si>
  <si>
    <t>priority</t>
  </si>
  <si>
    <t>completion time</t>
  </si>
  <si>
    <t>4 hours early</t>
  </si>
  <si>
    <t>6 hours early</t>
  </si>
  <si>
    <t>23 hours late</t>
  </si>
  <si>
    <t>53 hours late</t>
  </si>
  <si>
    <t>3 hours late</t>
  </si>
  <si>
    <t>a</t>
  </si>
  <si>
    <t>The job sequence are 2,1,4,5,3</t>
  </si>
  <si>
    <t>Average lateness will be less from 13.8 to 12.8 when the sequence will be 2,1,3,5&amp;4</t>
  </si>
  <si>
    <t>the sequence will be 2,1,3,5&amp;4 an the first three jobs will be finished before time.</t>
  </si>
  <si>
    <t>b</t>
  </si>
  <si>
    <t>c</t>
  </si>
  <si>
    <t>d</t>
  </si>
  <si>
    <t>Monthly Demand</t>
  </si>
  <si>
    <t>Holding cost</t>
  </si>
  <si>
    <t>B</t>
  </si>
  <si>
    <t>Work Days</t>
  </si>
  <si>
    <t>Daily Demand</t>
  </si>
  <si>
    <t>Lead time</t>
  </si>
  <si>
    <t>Demand during lead time</t>
  </si>
  <si>
    <t>Reorder point</t>
  </si>
  <si>
    <t>Inventory Position after reorder</t>
  </si>
  <si>
    <t>Order size</t>
  </si>
  <si>
    <t>Annual holding cost</t>
  </si>
  <si>
    <t>Annual ordering cost</t>
  </si>
  <si>
    <t>Total holding + ordering cost</t>
  </si>
  <si>
    <t>Since, With every fall in value of placing cash order, the ordering cost increases more than decrease in carrying cost and hence sum total of ordering and carrying cost increases.</t>
  </si>
  <si>
    <r>
      <t>Hence First City bank order with </t>
    </r>
    <r>
      <rPr>
        <b/>
        <sz val="11"/>
        <color rgb="FF333333"/>
        <rFont val="Calibri"/>
        <family val="2"/>
        <scheme val="minor"/>
      </rPr>
      <t>800000</t>
    </r>
  </si>
  <si>
    <t>Cost per PM</t>
  </si>
  <si>
    <t>Cost Per Breakdown</t>
  </si>
  <si>
    <t>Gap between PM(Months)</t>
  </si>
  <si>
    <t>Average Breakdown Between PM</t>
  </si>
  <si>
    <t>Number of PM Per Month</t>
  </si>
  <si>
    <t>Number of Break Down Per Month</t>
  </si>
  <si>
    <t>Maitanance Cost</t>
  </si>
  <si>
    <t>Breakdown Expense</t>
  </si>
  <si>
    <t>Expected Cost Per Month</t>
  </si>
  <si>
    <t>Option 1</t>
  </si>
  <si>
    <t>Option 2</t>
  </si>
  <si>
    <t>Best Option</t>
  </si>
  <si>
    <t>Option 3</t>
  </si>
  <si>
    <t>Option 4</t>
  </si>
  <si>
    <t>A</t>
  </si>
  <si>
    <t xml:space="preserve">Reliability of current switch </t>
  </si>
  <si>
    <t>With this switch option for section A, reliability</t>
  </si>
  <si>
    <t>Ra</t>
  </si>
  <si>
    <t>Ra=1-failure(a)</t>
  </si>
  <si>
    <t>F1</t>
  </si>
  <si>
    <t>F2</t>
  </si>
  <si>
    <t>Similarly, for section B, reliability Rb = 1-failure(b) = 0.99</t>
  </si>
  <si>
    <t>Therefore, series connection of two components with reliability of 0.99 each is</t>
  </si>
  <si>
    <t>Therefore, the reliability of switch option has been improved to 0.9801</t>
  </si>
  <si>
    <t>Ra * Rb</t>
  </si>
  <si>
    <t>Activity</t>
  </si>
  <si>
    <t>Predecessors</t>
  </si>
  <si>
    <t>Optimistic Time (a)</t>
  </si>
  <si>
    <t xml:space="preserve">Most Likely Time (m) </t>
  </si>
  <si>
    <t>Pessimistic Time (b)</t>
  </si>
  <si>
    <t>--</t>
  </si>
  <si>
    <t>C</t>
  </si>
  <si>
    <t>D</t>
  </si>
  <si>
    <t>E</t>
  </si>
  <si>
    <t>Variance</t>
  </si>
  <si>
    <t>Expected time</t>
  </si>
  <si>
    <t>The expected duration</t>
  </si>
  <si>
    <t>13 weeks</t>
  </si>
  <si>
    <t>standard deviation</t>
  </si>
  <si>
    <t>probability of completing in 13 weeks or less</t>
  </si>
  <si>
    <t>z</t>
  </si>
  <si>
    <t>From the Z-table</t>
  </si>
  <si>
    <t>probability = 0.97062</t>
  </si>
  <si>
    <t>probability of completing in 16 weeks</t>
  </si>
  <si>
    <t>probability = 0.5</t>
  </si>
  <si>
    <t>Objective function is maximize double sigma Pij*Xij taking values 1 to 3</t>
  </si>
  <si>
    <t>Constraints are Sigma (j)Xij&lt;=Ai for i=1,2,3, Sigma (I)Xij&lt;=Dj for j=1,2,3 and Xij&gt;=0 for all I and j</t>
  </si>
  <si>
    <t>From Orchard</t>
  </si>
  <si>
    <t>Apple products</t>
  </si>
  <si>
    <t>Fruit processors</t>
  </si>
  <si>
    <t>Extragood fruit</t>
  </si>
  <si>
    <t>Supply</t>
  </si>
  <si>
    <t>Red city</t>
  </si>
  <si>
    <t>Golden</t>
  </si>
  <si>
    <t>Macville</t>
  </si>
  <si>
    <t>Price</t>
  </si>
  <si>
    <t>This is a unbalanced problem. Total availibilty=36,000 but demand = 40,000. Decision variables matrix with the constraints and objective function are as follows</t>
  </si>
  <si>
    <t>VARIABLES MATRIX</t>
  </si>
  <si>
    <t>SUM</t>
  </si>
  <si>
    <t>Constraint</t>
  </si>
  <si>
    <t>&lt;=</t>
  </si>
  <si>
    <t>Value of maximum profit</t>
  </si>
  <si>
    <t>constraint</t>
  </si>
  <si>
    <t>supply</t>
  </si>
  <si>
    <t>As the maximum profit ($2.75) comes from Fruit processors so the transportation of 12,000 (3000 from Golden and 9000 from Macville) to meet its demand of 12,000 units.</t>
  </si>
  <si>
    <t>Next higher profit ($2.65) comes from transporting from Red city to Extragood so its demand of 15,000 units is met.</t>
  </si>
  <si>
    <t>The one left is 3000 is from Golden and remainning 6000 to Apple from Golden.</t>
  </si>
  <si>
    <t>The maximum profit is $95,400</t>
  </si>
  <si>
    <t xml:space="preserve">Total for Delicious Apple is Sigma(i) Xi1 and the total for Extragood Fruit is Sigma(i) Xi3 and total for Fruit Processors is Sigma(i) Xi2. </t>
  </si>
  <si>
    <t>The condition is in form of contraint Sigma(i) Xi3 &gt;= Sigma(i) Xi2</t>
  </si>
  <si>
    <t>Labour cost</t>
  </si>
  <si>
    <t>20 hours for one disk</t>
  </si>
  <si>
    <t>Labour cost (hours)</t>
  </si>
  <si>
    <t>overtime (hours)</t>
  </si>
  <si>
    <t>outsourcing hours)</t>
  </si>
  <si>
    <t>Quarter 1</t>
  </si>
  <si>
    <t>Quarter 2</t>
  </si>
  <si>
    <t>Quarter 3</t>
  </si>
  <si>
    <t>21 hours for one disk</t>
  </si>
  <si>
    <t>Quarter 4</t>
  </si>
  <si>
    <t>22 hours for one disk</t>
  </si>
  <si>
    <t>Total Cost</t>
  </si>
  <si>
    <t>i)</t>
  </si>
  <si>
    <t>ii)</t>
  </si>
  <si>
    <t>100 units</t>
  </si>
  <si>
    <t>overtime pay</t>
  </si>
  <si>
    <t>outsorcing pay</t>
  </si>
  <si>
    <t>Normal Completion Time (Weeks)</t>
  </si>
  <si>
    <t>Crash Completion Time (Weeks)</t>
  </si>
  <si>
    <t>Normal Cost (Total)</t>
  </si>
  <si>
    <t>Crash Cost (Total)</t>
  </si>
  <si>
    <t>F</t>
  </si>
  <si>
    <t>G</t>
  </si>
  <si>
    <t>H</t>
  </si>
  <si>
    <t>Crushing Available</t>
  </si>
  <si>
    <t>Crush cost</t>
  </si>
  <si>
    <t>Crash cost per week</t>
  </si>
  <si>
    <t>ES</t>
  </si>
  <si>
    <t>EF</t>
  </si>
  <si>
    <t>LS</t>
  </si>
  <si>
    <t>LF</t>
  </si>
  <si>
    <t>Slack</t>
  </si>
  <si>
    <t>Critical path</t>
  </si>
  <si>
    <t>A-B-D-F-H</t>
  </si>
  <si>
    <t>Supposing we want to reduce the project time by 2 weeks</t>
  </si>
  <si>
    <t>Activity crashed</t>
  </si>
  <si>
    <t>By weeks</t>
  </si>
  <si>
    <t>Crash cost</t>
  </si>
  <si>
    <t>i</t>
  </si>
  <si>
    <t>ii</t>
  </si>
  <si>
    <t>a)</t>
  </si>
  <si>
    <t>b)</t>
  </si>
  <si>
    <t>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</si>
</sst>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5" formatCode="0.0000"/>
    <numFmt numFmtId="179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/>
    <xf numFmtId="10" fontId="0" fillId="0" borderId="0" xfId="0" applyNumberFormat="1"/>
    <xf numFmtId="0" fontId="4" fillId="2" borderId="0" xfId="0" applyFont="1" applyFill="1" applyAlignment="1">
      <alignment horizontal="left" vertical="top" wrapText="1"/>
    </xf>
    <xf numFmtId="0" fontId="0" fillId="0" borderId="0" xfId="0" applyFont="1"/>
    <xf numFmtId="0" fontId="2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4" fontId="0" fillId="0" borderId="0" xfId="1" applyFont="1"/>
    <xf numFmtId="179" fontId="0" fillId="0" borderId="0" xfId="1" applyNumberFormat="1" applyFont="1"/>
    <xf numFmtId="6" fontId="0" fillId="0" borderId="0" xfId="0" applyNumberForma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6" fontId="7" fillId="0" borderId="11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/>
    <xf numFmtId="2" fontId="9" fillId="0" borderId="2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0" xfId="0" applyFont="1" applyBorder="1"/>
    <xf numFmtId="0" fontId="9" fillId="0" borderId="1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165" fontId="10" fillId="0" borderId="2" xfId="0" applyNumberFormat="1" applyFont="1" applyBorder="1" applyAlignment="1">
      <alignment vertical="center" wrapText="1"/>
    </xf>
    <xf numFmtId="2" fontId="9" fillId="0" borderId="12" xfId="0" applyNumberFormat="1" applyFont="1" applyBorder="1" applyAlignment="1">
      <alignment vertical="center" wrapText="1"/>
    </xf>
    <xf numFmtId="1" fontId="9" fillId="0" borderId="12" xfId="0" applyNumberFormat="1" applyFont="1" applyBorder="1" applyAlignment="1">
      <alignment vertical="center" wrapText="1"/>
    </xf>
    <xf numFmtId="165" fontId="10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0" fontId="11" fillId="0" borderId="0" xfId="0" applyFont="1"/>
    <xf numFmtId="0" fontId="12" fillId="0" borderId="0" xfId="2" applyFont="1"/>
    <xf numFmtId="1" fontId="2" fillId="0" borderId="0" xfId="0" applyNumberFormat="1" applyFont="1"/>
    <xf numFmtId="0" fontId="8" fillId="2" borderId="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2" fontId="0" fillId="0" borderId="9" xfId="0" applyNumberFormat="1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33014</xdr:colOff>
      <xdr:row>30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7EF4CF-0CA8-4D5F-81A1-6BD98DF45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0"/>
          <a:ext cx="6100439" cy="365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28575</xdr:colOff>
      <xdr:row>72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ABD69F-F89C-48EC-9483-0BF39F688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677525"/>
          <a:ext cx="6096000" cy="3943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13</xdr:row>
      <xdr:rowOff>180976</xdr:rowOff>
    </xdr:from>
    <xdr:to>
      <xdr:col>5</xdr:col>
      <xdr:colOff>361950</xdr:colOff>
      <xdr:row>36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91F693-2BFE-40D1-BFB8-42E47185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3028951"/>
          <a:ext cx="4295775" cy="429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B8A1-768B-4125-B4CB-359719997A53}">
  <dimension ref="A2:K16"/>
  <sheetViews>
    <sheetView workbookViewId="0">
      <selection activeCell="F17" sqref="F17"/>
    </sheetView>
  </sheetViews>
  <sheetFormatPr defaultRowHeight="15" x14ac:dyDescent="0.25"/>
  <cols>
    <col min="1" max="1" width="28.140625" bestFit="1" customWidth="1"/>
    <col min="2" max="2" width="11" bestFit="1" customWidth="1"/>
    <col min="3" max="3" width="5" bestFit="1" customWidth="1"/>
    <col min="4" max="4" width="9" bestFit="1" customWidth="1"/>
    <col min="5" max="5" width="12.140625" bestFit="1" customWidth="1"/>
    <col min="6" max="6" width="5" bestFit="1" customWidth="1"/>
    <col min="7" max="7" width="10.5703125" bestFit="1" customWidth="1"/>
    <col min="8" max="9" width="12" bestFit="1" customWidth="1"/>
    <col min="10" max="10" width="8" bestFit="1" customWidth="1"/>
    <col min="11" max="11" width="12" bestFit="1" customWidth="1"/>
  </cols>
  <sheetData>
    <row r="2" spans="1:11" x14ac:dyDescent="0.25">
      <c r="A2" t="s">
        <v>0</v>
      </c>
      <c r="B2">
        <v>180000</v>
      </c>
    </row>
    <row r="3" spans="1:11" x14ac:dyDescent="0.25">
      <c r="A3" t="s">
        <v>1</v>
      </c>
      <c r="B3">
        <v>200</v>
      </c>
    </row>
    <row r="4" spans="1:11" x14ac:dyDescent="0.25">
      <c r="A4" t="s">
        <v>2</v>
      </c>
      <c r="B4" s="1">
        <v>0.4</v>
      </c>
    </row>
    <row r="5" spans="1:11" x14ac:dyDescent="0.25">
      <c r="A5" s="6" t="s">
        <v>190</v>
      </c>
    </row>
    <row r="6" spans="1:11" x14ac:dyDescent="0.2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  <c r="J6" t="s">
        <v>16</v>
      </c>
      <c r="K6" t="s">
        <v>6</v>
      </c>
    </row>
    <row r="7" spans="1:11" x14ac:dyDescent="0.25">
      <c r="A7">
        <v>1</v>
      </c>
      <c r="B7">
        <v>1</v>
      </c>
      <c r="C7">
        <v>600</v>
      </c>
      <c r="D7">
        <v>19.45</v>
      </c>
      <c r="E7">
        <f>0.4*D7</f>
        <v>7.78</v>
      </c>
      <c r="F7">
        <f>SQRT(2*$B$2*($B$3/E7))</f>
        <v>3042.1207593803629</v>
      </c>
      <c r="G7">
        <f>C7</f>
        <v>600</v>
      </c>
      <c r="H7">
        <f>(G7/2)*E7</f>
        <v>2334</v>
      </c>
      <c r="I7">
        <f>($B$2/G7)*$B$3</f>
        <v>60000</v>
      </c>
      <c r="J7">
        <f>$B$2*D7</f>
        <v>3501000</v>
      </c>
      <c r="K7">
        <f>H7+I7+J7</f>
        <v>3563334</v>
      </c>
    </row>
    <row r="8" spans="1:11" x14ac:dyDescent="0.25">
      <c r="A8">
        <v>2</v>
      </c>
      <c r="B8">
        <v>601</v>
      </c>
      <c r="C8">
        <v>999</v>
      </c>
      <c r="D8">
        <f>D7-0.4</f>
        <v>19.05</v>
      </c>
      <c r="E8">
        <f t="shared" ref="E8:E10" si="0">0.4*D8</f>
        <v>7.620000000000001</v>
      </c>
      <c r="F8">
        <f t="shared" ref="F8:F10" si="1">SQRT(2*$B$2*($B$3/E8))</f>
        <v>3073.8931174713598</v>
      </c>
      <c r="G8">
        <f t="shared" ref="G8:G10" si="2">C8</f>
        <v>999</v>
      </c>
      <c r="H8">
        <f t="shared" ref="H8:H12" si="3">(G8/2)*E8</f>
        <v>3806.1900000000005</v>
      </c>
      <c r="I8">
        <f t="shared" ref="I8:I12" si="4">($B$2/G8)*$B$3</f>
        <v>36036.036036036036</v>
      </c>
      <c r="J8">
        <f t="shared" ref="J8:J12" si="5">$B$2*D8</f>
        <v>3429000</v>
      </c>
      <c r="K8">
        <f t="shared" ref="K8:K12" si="6">H8+I8+J8</f>
        <v>3468842.2260360359</v>
      </c>
    </row>
    <row r="9" spans="1:11" x14ac:dyDescent="0.25">
      <c r="A9">
        <v>3</v>
      </c>
      <c r="B9">
        <v>1000</v>
      </c>
      <c r="C9">
        <v>1999</v>
      </c>
      <c r="D9">
        <f>D7-0.44</f>
        <v>19.009999999999998</v>
      </c>
      <c r="E9">
        <f t="shared" si="0"/>
        <v>7.6039999999999992</v>
      </c>
      <c r="F9">
        <f t="shared" si="1"/>
        <v>3077.1253929358495</v>
      </c>
      <c r="G9">
        <f t="shared" si="2"/>
        <v>1999</v>
      </c>
      <c r="H9">
        <f t="shared" si="3"/>
        <v>7600.1979999999994</v>
      </c>
      <c r="I9">
        <f t="shared" si="4"/>
        <v>18009.004502251126</v>
      </c>
      <c r="J9">
        <f t="shared" si="5"/>
        <v>3421799.9999999995</v>
      </c>
      <c r="K9">
        <f t="shared" si="6"/>
        <v>3447409.2025022507</v>
      </c>
    </row>
    <row r="10" spans="1:11" x14ac:dyDescent="0.25">
      <c r="A10">
        <v>4</v>
      </c>
      <c r="B10">
        <v>2000</v>
      </c>
      <c r="C10" s="2" t="s">
        <v>17</v>
      </c>
      <c r="D10">
        <f>D7-0.47</f>
        <v>18.98</v>
      </c>
      <c r="E10">
        <f t="shared" si="0"/>
        <v>7.5920000000000005</v>
      </c>
      <c r="F10">
        <f t="shared" si="1"/>
        <v>3079.5563021178218</v>
      </c>
      <c r="G10" s="4">
        <f>F10</f>
        <v>3079.5563021178218</v>
      </c>
      <c r="H10">
        <f>(G10/2)*E10</f>
        <v>11689.995722839252</v>
      </c>
      <c r="I10">
        <f t="shared" si="4"/>
        <v>11689.995722839252</v>
      </c>
      <c r="J10">
        <f t="shared" si="5"/>
        <v>3416400</v>
      </c>
      <c r="K10">
        <f t="shared" si="6"/>
        <v>3439779.9914456783</v>
      </c>
    </row>
    <row r="11" spans="1:11" x14ac:dyDescent="0.25">
      <c r="C11" s="2"/>
      <c r="G11" s="4"/>
    </row>
    <row r="12" spans="1:11" x14ac:dyDescent="0.25">
      <c r="A12" s="6" t="s">
        <v>191</v>
      </c>
    </row>
    <row r="13" spans="1:11" x14ac:dyDescent="0.25">
      <c r="A13" t="s">
        <v>18</v>
      </c>
      <c r="B13" s="45">
        <f>G10</f>
        <v>3079.5563021178218</v>
      </c>
    </row>
    <row r="14" spans="1:11" x14ac:dyDescent="0.25">
      <c r="B14" s="4"/>
    </row>
    <row r="15" spans="1:11" x14ac:dyDescent="0.25">
      <c r="A15" s="6" t="s">
        <v>192</v>
      </c>
      <c r="B15" s="4"/>
    </row>
    <row r="16" spans="1:11" x14ac:dyDescent="0.25">
      <c r="A16" t="s">
        <v>19</v>
      </c>
      <c r="B16" s="11">
        <f>K10</f>
        <v>3439779.9914456783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1B36-4981-4B97-9FEA-110ED301FEF0}">
  <dimension ref="A1:E54"/>
  <sheetViews>
    <sheetView tabSelected="1" workbookViewId="0">
      <selection activeCell="D7" sqref="D7"/>
    </sheetView>
  </sheetViews>
  <sheetFormatPr defaultColWidth="13.5703125" defaultRowHeight="15" x14ac:dyDescent="0.25"/>
  <cols>
    <col min="1" max="1" width="21.42578125" style="10" bestFit="1" customWidth="1"/>
    <col min="2" max="2" width="13.5703125" style="10"/>
    <col min="3" max="3" width="10.140625" style="10" bestFit="1" customWidth="1"/>
    <col min="4" max="16384" width="13.5703125" style="10"/>
  </cols>
  <sheetData>
    <row r="1" spans="1:5" ht="30.75" thickBot="1" x14ac:dyDescent="0.3">
      <c r="A1" s="13" t="s">
        <v>105</v>
      </c>
      <c r="B1" s="14" t="s">
        <v>106</v>
      </c>
      <c r="C1" s="14" t="s">
        <v>107</v>
      </c>
      <c r="D1" s="14" t="s">
        <v>108</v>
      </c>
      <c r="E1" s="14" t="s">
        <v>109</v>
      </c>
    </row>
    <row r="2" spans="1:5" ht="15.75" thickBot="1" x14ac:dyDescent="0.3">
      <c r="A2" s="15" t="s">
        <v>94</v>
      </c>
      <c r="B2" s="16" t="s">
        <v>110</v>
      </c>
      <c r="C2" s="16">
        <v>2</v>
      </c>
      <c r="D2" s="16">
        <v>4</v>
      </c>
      <c r="E2" s="16">
        <v>6</v>
      </c>
    </row>
    <row r="3" spans="1:5" ht="15.75" thickBot="1" x14ac:dyDescent="0.3">
      <c r="A3" s="15" t="s">
        <v>67</v>
      </c>
      <c r="B3" s="16" t="s">
        <v>110</v>
      </c>
      <c r="C3" s="16">
        <v>1</v>
      </c>
      <c r="D3" s="16">
        <v>2</v>
      </c>
      <c r="E3" s="16">
        <v>9</v>
      </c>
    </row>
    <row r="4" spans="1:5" ht="15.75" thickBot="1" x14ac:dyDescent="0.3">
      <c r="A4" s="15" t="s">
        <v>111</v>
      </c>
      <c r="B4" s="16" t="s">
        <v>94</v>
      </c>
      <c r="C4" s="16">
        <v>2</v>
      </c>
      <c r="D4" s="16">
        <v>4</v>
      </c>
      <c r="E4" s="16">
        <v>6</v>
      </c>
    </row>
    <row r="5" spans="1:5" ht="15.75" thickBot="1" x14ac:dyDescent="0.3">
      <c r="A5" s="15" t="s">
        <v>112</v>
      </c>
      <c r="B5" s="16" t="s">
        <v>67</v>
      </c>
      <c r="C5" s="16">
        <v>5</v>
      </c>
      <c r="D5" s="16">
        <v>8</v>
      </c>
      <c r="E5" s="16">
        <v>17</v>
      </c>
    </row>
    <row r="6" spans="1:5" ht="15.75" thickBot="1" x14ac:dyDescent="0.3">
      <c r="A6" s="15" t="s">
        <v>113</v>
      </c>
      <c r="B6" s="16" t="s">
        <v>111</v>
      </c>
      <c r="C6" s="16">
        <v>3</v>
      </c>
      <c r="D6" s="16">
        <v>4</v>
      </c>
      <c r="E6" s="16">
        <v>11</v>
      </c>
    </row>
    <row r="7" spans="1:5" ht="15.75" thickBot="1" x14ac:dyDescent="0.3"/>
    <row r="8" spans="1:5" ht="21" customHeight="1" thickBot="1" x14ac:dyDescent="0.3">
      <c r="A8" s="13" t="s">
        <v>105</v>
      </c>
      <c r="B8" s="14" t="s">
        <v>115</v>
      </c>
      <c r="C8" s="14" t="s">
        <v>114</v>
      </c>
    </row>
    <row r="9" spans="1:5" ht="15.75" thickBot="1" x14ac:dyDescent="0.3">
      <c r="A9" s="15" t="s">
        <v>94</v>
      </c>
      <c r="B9" s="16">
        <f>(C2+(4*D2)+E2)/6</f>
        <v>4</v>
      </c>
      <c r="C9" s="54">
        <f>((E2-C2)/6)^2</f>
        <v>0.44444444444444442</v>
      </c>
    </row>
    <row r="10" spans="1:5" ht="15.75" thickBot="1" x14ac:dyDescent="0.3">
      <c r="A10" s="15" t="s">
        <v>67</v>
      </c>
      <c r="B10" s="16">
        <f t="shared" ref="B10:B13" si="0">(C3+(4*D3)+E3)/6</f>
        <v>3</v>
      </c>
      <c r="C10" s="54">
        <f t="shared" ref="C10:C13" si="1">((E3-C3)/6)^2</f>
        <v>1.7777777777777777</v>
      </c>
    </row>
    <row r="11" spans="1:5" ht="15.75" thickBot="1" x14ac:dyDescent="0.3">
      <c r="A11" s="15" t="s">
        <v>111</v>
      </c>
      <c r="B11" s="16">
        <f t="shared" si="0"/>
        <v>4</v>
      </c>
      <c r="C11" s="54">
        <f t="shared" si="1"/>
        <v>0.44444444444444442</v>
      </c>
    </row>
    <row r="12" spans="1:5" ht="15.75" thickBot="1" x14ac:dyDescent="0.3">
      <c r="A12" s="15" t="s">
        <v>112</v>
      </c>
      <c r="B12" s="16">
        <f t="shared" si="0"/>
        <v>9</v>
      </c>
      <c r="C12" s="54">
        <f t="shared" si="1"/>
        <v>4</v>
      </c>
    </row>
    <row r="13" spans="1:5" ht="15.75" thickBot="1" x14ac:dyDescent="0.3">
      <c r="A13" s="15" t="s">
        <v>113</v>
      </c>
      <c r="B13" s="16">
        <f t="shared" si="0"/>
        <v>5</v>
      </c>
      <c r="C13" s="54">
        <f t="shared" si="1"/>
        <v>1.7777777777777777</v>
      </c>
    </row>
    <row r="15" spans="1:5" x14ac:dyDescent="0.25">
      <c r="A15" s="17" t="s">
        <v>58</v>
      </c>
    </row>
    <row r="39" spans="1:3" x14ac:dyDescent="0.25">
      <c r="A39" s="10" t="s">
        <v>62</v>
      </c>
    </row>
    <row r="40" spans="1:3" x14ac:dyDescent="0.25">
      <c r="A40" s="10" t="s">
        <v>116</v>
      </c>
      <c r="B40" s="6" t="s">
        <v>117</v>
      </c>
    </row>
    <row r="42" spans="1:3" x14ac:dyDescent="0.25">
      <c r="A42" s="10" t="s">
        <v>118</v>
      </c>
      <c r="B42" s="18">
        <f>SQRT(0.4+0.4+1.73)</f>
        <v>1.5905973720586868</v>
      </c>
    </row>
    <row r="43" spans="1:3" x14ac:dyDescent="0.25">
      <c r="B43" s="18"/>
    </row>
    <row r="44" spans="1:3" x14ac:dyDescent="0.25">
      <c r="A44" s="10" t="s">
        <v>63</v>
      </c>
    </row>
    <row r="45" spans="1:3" x14ac:dyDescent="0.25">
      <c r="A45" s="19" t="s">
        <v>119</v>
      </c>
      <c r="B45" s="19"/>
      <c r="C45" s="19"/>
    </row>
    <row r="46" spans="1:3" x14ac:dyDescent="0.25">
      <c r="A46" s="10" t="s">
        <v>120</v>
      </c>
      <c r="B46" s="18">
        <f>(13-13)/1.59</f>
        <v>0</v>
      </c>
    </row>
    <row r="47" spans="1:3" x14ac:dyDescent="0.25">
      <c r="A47" s="10" t="s">
        <v>121</v>
      </c>
      <c r="B47" s="10">
        <v>0.5</v>
      </c>
    </row>
    <row r="48" spans="1:3" x14ac:dyDescent="0.25">
      <c r="A48" s="6" t="s">
        <v>124</v>
      </c>
    </row>
    <row r="49" spans="1:3" x14ac:dyDescent="0.25">
      <c r="A49" s="6"/>
    </row>
    <row r="50" spans="1:3" x14ac:dyDescent="0.25">
      <c r="A50" s="10" t="s">
        <v>64</v>
      </c>
    </row>
    <row r="51" spans="1:3" x14ac:dyDescent="0.25">
      <c r="A51" s="19" t="s">
        <v>123</v>
      </c>
      <c r="B51" s="19"/>
      <c r="C51" s="19"/>
    </row>
    <row r="52" spans="1:3" x14ac:dyDescent="0.25">
      <c r="A52" s="10" t="s">
        <v>120</v>
      </c>
      <c r="B52" s="18">
        <f>(16-13)/1.59</f>
        <v>1.8867924528301885</v>
      </c>
    </row>
    <row r="53" spans="1:3" x14ac:dyDescent="0.25">
      <c r="A53" s="10" t="s">
        <v>121</v>
      </c>
      <c r="B53" s="10">
        <v>0.97062000000000004</v>
      </c>
    </row>
    <row r="54" spans="1:3" x14ac:dyDescent="0.25">
      <c r="A54" s="6" t="s">
        <v>122</v>
      </c>
    </row>
  </sheetData>
  <mergeCells count="2">
    <mergeCell ref="A45:C45"/>
    <mergeCell ref="A51:C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270A-CC14-4509-90B4-06341F138A9A}">
  <dimension ref="A2:B45"/>
  <sheetViews>
    <sheetView workbookViewId="0">
      <selection activeCell="B44" sqref="B44"/>
    </sheetView>
  </sheetViews>
  <sheetFormatPr defaultRowHeight="15" x14ac:dyDescent="0.25"/>
  <cols>
    <col min="1" max="1" width="22.140625" bestFit="1" customWidth="1"/>
  </cols>
  <sheetData>
    <row r="2" spans="1:2" x14ac:dyDescent="0.25">
      <c r="A2" t="s">
        <v>20</v>
      </c>
      <c r="B2">
        <v>20</v>
      </c>
    </row>
    <row r="3" spans="1:2" x14ac:dyDescent="0.25">
      <c r="A3" t="s">
        <v>21</v>
      </c>
      <c r="B3" s="23">
        <v>100</v>
      </c>
    </row>
    <row r="4" spans="1:2" x14ac:dyDescent="0.25">
      <c r="A4" t="s">
        <v>22</v>
      </c>
      <c r="B4" t="s">
        <v>164</v>
      </c>
    </row>
    <row r="5" spans="1:2" x14ac:dyDescent="0.25">
      <c r="A5" t="s">
        <v>165</v>
      </c>
      <c r="B5">
        <v>1.5</v>
      </c>
    </row>
    <row r="6" spans="1:2" x14ac:dyDescent="0.25">
      <c r="A6" t="s">
        <v>166</v>
      </c>
      <c r="B6">
        <v>475</v>
      </c>
    </row>
    <row r="8" spans="1:2" x14ac:dyDescent="0.25">
      <c r="A8" s="5" t="s">
        <v>162</v>
      </c>
    </row>
    <row r="9" spans="1:2" x14ac:dyDescent="0.25">
      <c r="A9" t="s">
        <v>23</v>
      </c>
      <c r="B9">
        <v>2520</v>
      </c>
    </row>
    <row r="10" spans="1:2" x14ac:dyDescent="0.25">
      <c r="A10" t="s">
        <v>24</v>
      </c>
      <c r="B10">
        <v>10180</v>
      </c>
    </row>
    <row r="11" spans="1:2" x14ac:dyDescent="0.25">
      <c r="A11" t="s">
        <v>25</v>
      </c>
      <c r="B11">
        <f>B10*100</f>
        <v>1018000</v>
      </c>
    </row>
    <row r="12" spans="1:2" x14ac:dyDescent="0.25">
      <c r="A12" t="s">
        <v>155</v>
      </c>
    </row>
    <row r="13" spans="1:2" x14ac:dyDescent="0.25">
      <c r="A13" t="s">
        <v>150</v>
      </c>
      <c r="B13" t="s">
        <v>151</v>
      </c>
    </row>
    <row r="14" spans="1:2" x14ac:dyDescent="0.25">
      <c r="A14" t="s">
        <v>152</v>
      </c>
      <c r="B14">
        <f>1260*20</f>
        <v>25200</v>
      </c>
    </row>
    <row r="16" spans="1:2" x14ac:dyDescent="0.25">
      <c r="A16" s="11" t="s">
        <v>153</v>
      </c>
      <c r="B16" s="11">
        <f>B14*$B$2*$B$5</f>
        <v>756000</v>
      </c>
    </row>
    <row r="17" spans="1:2" x14ac:dyDescent="0.25">
      <c r="A17" s="11"/>
      <c r="B17" s="11"/>
    </row>
    <row r="18" spans="1:2" x14ac:dyDescent="0.25">
      <c r="A18" s="11" t="s">
        <v>154</v>
      </c>
      <c r="B18" s="11">
        <f>1260*$B$6</f>
        <v>598500</v>
      </c>
    </row>
    <row r="20" spans="1:2" x14ac:dyDescent="0.25">
      <c r="A20" t="s">
        <v>156</v>
      </c>
    </row>
    <row r="21" spans="1:2" x14ac:dyDescent="0.25">
      <c r="A21" t="s">
        <v>150</v>
      </c>
      <c r="B21" t="s">
        <v>151</v>
      </c>
    </row>
    <row r="22" spans="1:2" x14ac:dyDescent="0.25">
      <c r="A22" t="s">
        <v>152</v>
      </c>
      <c r="B22">
        <f>1260*20</f>
        <v>25200</v>
      </c>
    </row>
    <row r="24" spans="1:2" x14ac:dyDescent="0.25">
      <c r="A24" s="11" t="s">
        <v>153</v>
      </c>
      <c r="B24" s="11">
        <f>B22*$B$2*$B$5</f>
        <v>756000</v>
      </c>
    </row>
    <row r="25" spans="1:2" x14ac:dyDescent="0.25">
      <c r="A25" s="11"/>
      <c r="B25" s="11"/>
    </row>
    <row r="26" spans="1:2" x14ac:dyDescent="0.25">
      <c r="A26" s="11" t="s">
        <v>154</v>
      </c>
      <c r="B26" s="11">
        <f>1260*$B$6</f>
        <v>598500</v>
      </c>
    </row>
    <row r="27" spans="1:2" x14ac:dyDescent="0.25">
      <c r="A27" s="11"/>
      <c r="B27" s="11"/>
    </row>
    <row r="28" spans="1:2" x14ac:dyDescent="0.25">
      <c r="A28" t="s">
        <v>157</v>
      </c>
    </row>
    <row r="29" spans="1:2" x14ac:dyDescent="0.25">
      <c r="A29" t="s">
        <v>150</v>
      </c>
      <c r="B29" t="s">
        <v>158</v>
      </c>
    </row>
    <row r="30" spans="1:2" x14ac:dyDescent="0.25">
      <c r="A30" t="s">
        <v>152</v>
      </c>
      <c r="B30">
        <f t="shared" ref="B30:B38" si="0">1260*20</f>
        <v>25200</v>
      </c>
    </row>
    <row r="32" spans="1:2" x14ac:dyDescent="0.25">
      <c r="A32" s="11" t="s">
        <v>153</v>
      </c>
      <c r="B32" s="11">
        <f>B30*23*$B$5</f>
        <v>869400</v>
      </c>
    </row>
    <row r="33" spans="1:2" x14ac:dyDescent="0.25">
      <c r="A33" s="11"/>
      <c r="B33" s="11"/>
    </row>
    <row r="34" spans="1:2" x14ac:dyDescent="0.25">
      <c r="A34" s="11" t="s">
        <v>154</v>
      </c>
      <c r="B34" s="11">
        <f>1260*$B$6</f>
        <v>598500</v>
      </c>
    </row>
    <row r="35" spans="1:2" x14ac:dyDescent="0.25">
      <c r="A35" s="11"/>
      <c r="B35" s="11"/>
    </row>
    <row r="36" spans="1:2" x14ac:dyDescent="0.25">
      <c r="A36" t="s">
        <v>159</v>
      </c>
    </row>
    <row r="37" spans="1:2" x14ac:dyDescent="0.25">
      <c r="A37" t="s">
        <v>150</v>
      </c>
      <c r="B37" t="s">
        <v>160</v>
      </c>
    </row>
    <row r="38" spans="1:2" x14ac:dyDescent="0.25">
      <c r="A38" t="s">
        <v>152</v>
      </c>
      <c r="B38">
        <f t="shared" si="0"/>
        <v>25200</v>
      </c>
    </row>
    <row r="40" spans="1:2" x14ac:dyDescent="0.25">
      <c r="A40" s="11" t="s">
        <v>153</v>
      </c>
      <c r="B40" s="11">
        <f>B38*23*$B$5</f>
        <v>869400</v>
      </c>
    </row>
    <row r="41" spans="1:2" x14ac:dyDescent="0.25">
      <c r="A41" s="11"/>
      <c r="B41" s="11"/>
    </row>
    <row r="42" spans="1:2" x14ac:dyDescent="0.25">
      <c r="A42" s="11" t="s">
        <v>154</v>
      </c>
      <c r="B42" s="11">
        <f>1260*$B$6</f>
        <v>598500</v>
      </c>
    </row>
    <row r="43" spans="1:2" x14ac:dyDescent="0.25">
      <c r="A43" s="11"/>
      <c r="B43" s="11"/>
    </row>
    <row r="44" spans="1:2" x14ac:dyDescent="0.25">
      <c r="A44" s="6" t="s">
        <v>163</v>
      </c>
    </row>
    <row r="45" spans="1:2" x14ac:dyDescent="0.25">
      <c r="A45" s="11" t="s">
        <v>161</v>
      </c>
      <c r="B45" s="11">
        <f>B16+B18+B24+B26+B32+B34+B40+B42+B11</f>
        <v>6662800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EC45-AE31-488F-A26F-3171306A5217}">
  <dimension ref="A1:G24"/>
  <sheetViews>
    <sheetView workbookViewId="0">
      <selection activeCell="B13" sqref="B13"/>
    </sheetView>
  </sheetViews>
  <sheetFormatPr defaultRowHeight="15" x14ac:dyDescent="0.25"/>
  <cols>
    <col min="1" max="2" width="26.5703125" bestFit="1" customWidth="1"/>
    <col min="3" max="3" width="18.7109375" bestFit="1" customWidth="1"/>
    <col min="4" max="4" width="7.7109375" bestFit="1" customWidth="1"/>
    <col min="5" max="6" width="5.7109375" bestFit="1" customWidth="1"/>
    <col min="7" max="7" width="6" bestFit="1" customWidth="1"/>
  </cols>
  <sheetData>
    <row r="1" spans="1:7" x14ac:dyDescent="0.25">
      <c r="A1" t="s">
        <v>26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</row>
    <row r="2" spans="1:7" x14ac:dyDescent="0.25">
      <c r="A2" t="s">
        <v>27</v>
      </c>
      <c r="B2">
        <v>300</v>
      </c>
      <c r="C2">
        <v>500</v>
      </c>
      <c r="D2">
        <v>800</v>
      </c>
      <c r="E2">
        <v>0</v>
      </c>
      <c r="F2">
        <v>200</v>
      </c>
      <c r="G2">
        <v>1000</v>
      </c>
    </row>
    <row r="3" spans="1:7" x14ac:dyDescent="0.25">
      <c r="A3" t="s">
        <v>28</v>
      </c>
      <c r="B3">
        <v>100</v>
      </c>
      <c r="C3">
        <v>0</v>
      </c>
      <c r="D3">
        <v>400</v>
      </c>
      <c r="E3">
        <v>0</v>
      </c>
      <c r="F3">
        <v>100</v>
      </c>
      <c r="G3">
        <v>0</v>
      </c>
    </row>
    <row r="4" spans="1:7" x14ac:dyDescent="0.25">
      <c r="A4" t="s">
        <v>29</v>
      </c>
      <c r="B4">
        <v>0</v>
      </c>
      <c r="C4">
        <v>0</v>
      </c>
      <c r="D4">
        <v>300</v>
      </c>
      <c r="E4">
        <v>0</v>
      </c>
      <c r="F4">
        <v>0</v>
      </c>
      <c r="G4">
        <v>0</v>
      </c>
    </row>
    <row r="5" spans="1:7" x14ac:dyDescent="0.25">
      <c r="A5" t="s">
        <v>30</v>
      </c>
      <c r="E5">
        <v>200</v>
      </c>
      <c r="F5">
        <v>200</v>
      </c>
      <c r="G5">
        <v>2000</v>
      </c>
    </row>
    <row r="6" spans="1:7" x14ac:dyDescent="0.25">
      <c r="A6" t="s">
        <v>31</v>
      </c>
      <c r="B6">
        <f>SUM(B2:B5)</f>
        <v>400</v>
      </c>
      <c r="C6">
        <f t="shared" ref="C6:G6" si="0">SUM(C2:C5)</f>
        <v>500</v>
      </c>
      <c r="D6">
        <f t="shared" si="0"/>
        <v>1500</v>
      </c>
      <c r="E6">
        <f t="shared" si="0"/>
        <v>200</v>
      </c>
      <c r="F6">
        <f t="shared" si="0"/>
        <v>500</v>
      </c>
      <c r="G6">
        <f t="shared" si="0"/>
        <v>3000</v>
      </c>
    </row>
    <row r="11" spans="1:7" x14ac:dyDescent="0.25">
      <c r="B11" t="s">
        <v>38</v>
      </c>
    </row>
    <row r="12" spans="1:7" x14ac:dyDescent="0.25">
      <c r="A12" t="s">
        <v>32</v>
      </c>
      <c r="B12">
        <v>1600</v>
      </c>
    </row>
    <row r="13" spans="1:7" x14ac:dyDescent="0.25">
      <c r="A13" t="s">
        <v>44</v>
      </c>
      <c r="B13">
        <f>MAX(0,B12-B6)</f>
        <v>1200</v>
      </c>
    </row>
    <row r="14" spans="1:7" x14ac:dyDescent="0.25">
      <c r="B14" t="s">
        <v>39</v>
      </c>
      <c r="C14">
        <f>MAX(0,1*B13-C6)</f>
        <v>700</v>
      </c>
    </row>
    <row r="15" spans="1:7" x14ac:dyDescent="0.25">
      <c r="B15" t="s">
        <v>40</v>
      </c>
      <c r="C15">
        <f>MAX(0,4*B13-C6)</f>
        <v>4300</v>
      </c>
    </row>
    <row r="16" spans="1:7" x14ac:dyDescent="0.25">
      <c r="C16" t="s">
        <v>41</v>
      </c>
      <c r="D16">
        <f>MAX(0,1*C14+500-E6)</f>
        <v>1000</v>
      </c>
    </row>
    <row r="17" spans="1:4" x14ac:dyDescent="0.25">
      <c r="C17" t="s">
        <v>42</v>
      </c>
      <c r="D17">
        <f>MAX(0,2*C14-F6)</f>
        <v>900</v>
      </c>
    </row>
    <row r="18" spans="1:4" x14ac:dyDescent="0.25">
      <c r="C18" t="s">
        <v>43</v>
      </c>
      <c r="D18">
        <f>MAX(0,1*C14-G6)</f>
        <v>0</v>
      </c>
    </row>
    <row r="19" spans="1:4" x14ac:dyDescent="0.25">
      <c r="A19" s="7" t="str">
        <f>A13</f>
        <v>Net toy car required</v>
      </c>
      <c r="B19" s="7">
        <f>B13</f>
        <v>1200</v>
      </c>
    </row>
    <row r="20" spans="1:4" x14ac:dyDescent="0.25">
      <c r="A20" s="7" t="str">
        <f>B14</f>
        <v>Net Body assembly required</v>
      </c>
      <c r="B20" s="7">
        <f>C14</f>
        <v>700</v>
      </c>
    </row>
    <row r="21" spans="1:4" x14ac:dyDescent="0.25">
      <c r="A21" s="7" t="str">
        <f>B15</f>
        <v>Net Wheels required</v>
      </c>
      <c r="B21" s="7">
        <f>C15</f>
        <v>4300</v>
      </c>
    </row>
    <row r="22" spans="1:4" x14ac:dyDescent="0.25">
      <c r="A22" s="7" t="str">
        <f>C16</f>
        <v>Net Hoods required</v>
      </c>
      <c r="B22" s="7">
        <f>D16</f>
        <v>1000</v>
      </c>
    </row>
    <row r="23" spans="1:4" x14ac:dyDescent="0.25">
      <c r="A23" s="7" t="str">
        <f t="shared" ref="A23:B24" si="1">C17</f>
        <v>Net sides required</v>
      </c>
      <c r="B23" s="7">
        <f t="shared" si="1"/>
        <v>900</v>
      </c>
    </row>
    <row r="24" spans="1:4" x14ac:dyDescent="0.25">
      <c r="A24" s="7" t="str">
        <f t="shared" si="1"/>
        <v>Net trunk reqired</v>
      </c>
      <c r="B24" s="7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8922-60F5-4BA4-B92F-B24A7BB76850}">
  <dimension ref="A2:K29"/>
  <sheetViews>
    <sheetView workbookViewId="0">
      <selection activeCell="B31" sqref="B31"/>
    </sheetView>
  </sheetViews>
  <sheetFormatPr defaultRowHeight="15" x14ac:dyDescent="0.25"/>
  <cols>
    <col min="1" max="1" width="12.85546875" customWidth="1"/>
    <col min="2" max="2" width="16" customWidth="1"/>
    <col min="3" max="3" width="15.7109375" customWidth="1"/>
    <col min="4" max="4" width="17.5703125" customWidth="1"/>
    <col min="5" max="5" width="12.5703125" bestFit="1" customWidth="1"/>
    <col min="6" max="6" width="10.7109375" customWidth="1"/>
  </cols>
  <sheetData>
    <row r="2" spans="1:11" x14ac:dyDescent="0.25">
      <c r="A2" t="s">
        <v>125</v>
      </c>
    </row>
    <row r="3" spans="1:11" x14ac:dyDescent="0.25">
      <c r="A3" t="s">
        <v>126</v>
      </c>
    </row>
    <row r="4" spans="1:11" x14ac:dyDescent="0.25">
      <c r="A4" t="s">
        <v>127</v>
      </c>
      <c r="B4" t="s">
        <v>128</v>
      </c>
      <c r="C4" t="s">
        <v>129</v>
      </c>
      <c r="D4" t="s">
        <v>130</v>
      </c>
      <c r="E4" t="s">
        <v>131</v>
      </c>
    </row>
    <row r="5" spans="1:11" x14ac:dyDescent="0.25">
      <c r="A5" t="s">
        <v>132</v>
      </c>
      <c r="B5" s="21">
        <v>2.35</v>
      </c>
      <c r="C5" s="21">
        <v>2.5499999999999998</v>
      </c>
      <c r="D5" s="21">
        <v>2.65</v>
      </c>
      <c r="E5">
        <v>15000</v>
      </c>
    </row>
    <row r="6" spans="1:11" x14ac:dyDescent="0.25">
      <c r="A6" t="s">
        <v>133</v>
      </c>
      <c r="B6" s="21">
        <v>2.5</v>
      </c>
      <c r="C6" s="21">
        <v>2.75</v>
      </c>
      <c r="D6" s="21">
        <v>2.5499999999999998</v>
      </c>
      <c r="E6">
        <v>12000</v>
      </c>
    </row>
    <row r="7" spans="1:11" x14ac:dyDescent="0.25">
      <c r="A7" t="s">
        <v>134</v>
      </c>
      <c r="B7" s="21">
        <v>2.4500000000000002</v>
      </c>
      <c r="C7" s="21">
        <v>2.75</v>
      </c>
      <c r="D7" s="21">
        <v>2.25</v>
      </c>
      <c r="E7">
        <v>9000</v>
      </c>
    </row>
    <row r="8" spans="1:11" x14ac:dyDescent="0.25">
      <c r="A8" t="s">
        <v>38</v>
      </c>
      <c r="B8">
        <v>10000</v>
      </c>
      <c r="C8">
        <v>12000</v>
      </c>
      <c r="D8">
        <v>18000</v>
      </c>
    </row>
    <row r="9" spans="1:11" x14ac:dyDescent="0.25">
      <c r="A9" t="s">
        <v>135</v>
      </c>
      <c r="B9" s="21">
        <v>2.9</v>
      </c>
      <c r="C9" s="21">
        <v>3.2</v>
      </c>
      <c r="D9" s="21">
        <v>3.1</v>
      </c>
    </row>
    <row r="11" spans="1:11" x14ac:dyDescent="0.25">
      <c r="A11" t="s">
        <v>136</v>
      </c>
    </row>
    <row r="12" spans="1:11" x14ac:dyDescent="0.25">
      <c r="A12" t="s">
        <v>137</v>
      </c>
    </row>
    <row r="13" spans="1:11" x14ac:dyDescent="0.25">
      <c r="A13" t="s">
        <v>127</v>
      </c>
      <c r="B13" t="s">
        <v>128</v>
      </c>
      <c r="C13" t="s">
        <v>129</v>
      </c>
      <c r="D13" t="s">
        <v>130</v>
      </c>
      <c r="E13" t="s">
        <v>138</v>
      </c>
      <c r="F13" t="s">
        <v>142</v>
      </c>
      <c r="G13" t="s">
        <v>143</v>
      </c>
      <c r="H13" t="s">
        <v>127</v>
      </c>
      <c r="I13" t="s">
        <v>128</v>
      </c>
      <c r="J13" t="s">
        <v>129</v>
      </c>
      <c r="K13" t="s">
        <v>130</v>
      </c>
    </row>
    <row r="14" spans="1:11" x14ac:dyDescent="0.25">
      <c r="A14" t="s">
        <v>132</v>
      </c>
      <c r="B14">
        <v>0</v>
      </c>
      <c r="C14">
        <v>0</v>
      </c>
      <c r="D14">
        <v>15000</v>
      </c>
      <c r="E14">
        <f>SUM(B14:D14)</f>
        <v>15000</v>
      </c>
      <c r="F14" s="2" t="s">
        <v>140</v>
      </c>
      <c r="G14">
        <v>15000</v>
      </c>
      <c r="H14" t="s">
        <v>132</v>
      </c>
      <c r="I14" s="21">
        <v>2.35</v>
      </c>
      <c r="J14" s="21">
        <v>2.5499999999999998</v>
      </c>
      <c r="K14" s="21">
        <v>2.65</v>
      </c>
    </row>
    <row r="15" spans="1:11" x14ac:dyDescent="0.25">
      <c r="A15" t="s">
        <v>133</v>
      </c>
      <c r="B15">
        <v>6000</v>
      </c>
      <c r="C15">
        <v>3000</v>
      </c>
      <c r="D15">
        <v>3000</v>
      </c>
      <c r="E15">
        <f t="shared" ref="E15:E16" si="0">SUM(B15:D15)</f>
        <v>12000</v>
      </c>
      <c r="F15" s="2" t="s">
        <v>140</v>
      </c>
      <c r="G15">
        <v>12000</v>
      </c>
      <c r="H15" t="s">
        <v>133</v>
      </c>
      <c r="I15" s="21">
        <v>2.5</v>
      </c>
      <c r="J15" s="21">
        <v>2.75</v>
      </c>
      <c r="K15" s="21">
        <v>2.5499999999999998</v>
      </c>
    </row>
    <row r="16" spans="1:11" x14ac:dyDescent="0.25">
      <c r="A16" t="s">
        <v>134</v>
      </c>
      <c r="B16">
        <v>0</v>
      </c>
      <c r="C16">
        <v>9000</v>
      </c>
      <c r="D16">
        <v>0</v>
      </c>
      <c r="E16">
        <f t="shared" si="0"/>
        <v>9000</v>
      </c>
      <c r="F16" s="2" t="s">
        <v>140</v>
      </c>
      <c r="G16">
        <v>9000</v>
      </c>
      <c r="H16" t="s">
        <v>134</v>
      </c>
      <c r="I16" s="21">
        <v>2.4500000000000002</v>
      </c>
      <c r="J16" s="21">
        <v>2.75</v>
      </c>
      <c r="K16" s="21">
        <v>2.25</v>
      </c>
    </row>
    <row r="17" spans="1:5" x14ac:dyDescent="0.25">
      <c r="A17" t="s">
        <v>138</v>
      </c>
      <c r="B17">
        <f>SUM(B14:B16)</f>
        <v>6000</v>
      </c>
      <c r="C17">
        <f t="shared" ref="C17:D17" si="1">SUM(C14:C16)</f>
        <v>12000</v>
      </c>
      <c r="D17">
        <f t="shared" si="1"/>
        <v>18000</v>
      </c>
    </row>
    <row r="18" spans="1:5" x14ac:dyDescent="0.25">
      <c r="A18" t="s">
        <v>139</v>
      </c>
      <c r="B18" s="2" t="s">
        <v>140</v>
      </c>
      <c r="C18" s="2" t="s">
        <v>140</v>
      </c>
      <c r="D18" s="2" t="s">
        <v>140</v>
      </c>
    </row>
    <row r="19" spans="1:5" x14ac:dyDescent="0.25">
      <c r="A19" t="s">
        <v>38</v>
      </c>
      <c r="B19">
        <v>10000</v>
      </c>
      <c r="C19">
        <v>12000</v>
      </c>
      <c r="D19">
        <v>18000</v>
      </c>
    </row>
    <row r="20" spans="1:5" x14ac:dyDescent="0.25">
      <c r="A20" s="20" t="s">
        <v>141</v>
      </c>
      <c r="B20" s="20"/>
      <c r="C20" s="20"/>
      <c r="D20" s="20"/>
      <c r="E20" s="22">
        <f>SUMPRODUCT(B14:D16,I14:K16)</f>
        <v>95400</v>
      </c>
    </row>
    <row r="22" spans="1:5" x14ac:dyDescent="0.25">
      <c r="A22" t="s">
        <v>144</v>
      </c>
    </row>
    <row r="23" spans="1:5" x14ac:dyDescent="0.25">
      <c r="A23" t="s">
        <v>145</v>
      </c>
    </row>
    <row r="24" spans="1:5" x14ac:dyDescent="0.25">
      <c r="A24" t="s">
        <v>146</v>
      </c>
    </row>
    <row r="25" spans="1:5" x14ac:dyDescent="0.25">
      <c r="A25" t="s">
        <v>147</v>
      </c>
    </row>
    <row r="27" spans="1:5" x14ac:dyDescent="0.25">
      <c r="A27" t="s">
        <v>64</v>
      </c>
    </row>
    <row r="28" spans="1:5" x14ac:dyDescent="0.25">
      <c r="A28" t="s">
        <v>148</v>
      </c>
    </row>
    <row r="29" spans="1:5" x14ac:dyDescent="0.25">
      <c r="A29" t="s">
        <v>149</v>
      </c>
    </row>
  </sheetData>
  <mergeCells count="1">
    <mergeCell ref="A20:D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0F66-6972-40CD-A049-9F022D889A73}">
  <dimension ref="A2:H52"/>
  <sheetViews>
    <sheetView workbookViewId="0">
      <selection activeCell="A47" sqref="A47"/>
    </sheetView>
  </sheetViews>
  <sheetFormatPr defaultRowHeight="15" x14ac:dyDescent="0.25"/>
  <cols>
    <col min="1" max="1" width="16.140625" customWidth="1"/>
    <col min="2" max="2" width="17.42578125" customWidth="1"/>
    <col min="3" max="4" width="15" customWidth="1"/>
    <col min="5" max="5" width="14.140625" customWidth="1"/>
    <col min="6" max="6" width="13.28515625" customWidth="1"/>
    <col min="8" max="8" width="11.28515625" customWidth="1"/>
  </cols>
  <sheetData>
    <row r="2" spans="1:8" ht="15.75" thickBot="1" x14ac:dyDescent="0.3"/>
    <row r="3" spans="1:8" ht="47.25" customHeight="1" thickBot="1" x14ac:dyDescent="0.3">
      <c r="A3" s="27" t="s">
        <v>105</v>
      </c>
      <c r="B3" s="27" t="s">
        <v>167</v>
      </c>
      <c r="C3" s="27" t="s">
        <v>168</v>
      </c>
      <c r="D3" s="27" t="s">
        <v>174</v>
      </c>
      <c r="E3" s="27" t="s">
        <v>169</v>
      </c>
      <c r="F3" s="27" t="s">
        <v>170</v>
      </c>
      <c r="G3" s="27" t="s">
        <v>175</v>
      </c>
      <c r="H3" s="27" t="s">
        <v>176</v>
      </c>
    </row>
    <row r="4" spans="1:8" ht="16.5" thickBot="1" x14ac:dyDescent="0.3">
      <c r="A4" s="24" t="s">
        <v>94</v>
      </c>
      <c r="B4" s="25">
        <v>6</v>
      </c>
      <c r="C4" s="25">
        <v>6</v>
      </c>
      <c r="D4" s="25">
        <f>B4-C4</f>
        <v>0</v>
      </c>
      <c r="E4" s="26">
        <v>100</v>
      </c>
      <c r="F4" s="26">
        <v>100</v>
      </c>
      <c r="G4" s="26">
        <f>F4-E4</f>
        <v>0</v>
      </c>
      <c r="H4" s="26">
        <v>0</v>
      </c>
    </row>
    <row r="5" spans="1:8" ht="16.5" thickBot="1" x14ac:dyDescent="0.3">
      <c r="A5" s="24" t="s">
        <v>67</v>
      </c>
      <c r="B5" s="25">
        <v>10</v>
      </c>
      <c r="C5" s="25">
        <v>4</v>
      </c>
      <c r="D5" s="25">
        <f t="shared" ref="D5:D11" si="0">B5-C5</f>
        <v>6</v>
      </c>
      <c r="E5" s="26">
        <v>2000</v>
      </c>
      <c r="F5" s="26">
        <v>2600</v>
      </c>
      <c r="G5" s="26">
        <f t="shared" ref="G5:G11" si="1">F5-E5</f>
        <v>600</v>
      </c>
      <c r="H5" s="26">
        <f>G5/D5</f>
        <v>100</v>
      </c>
    </row>
    <row r="6" spans="1:8" ht="16.5" thickBot="1" x14ac:dyDescent="0.3">
      <c r="A6" s="24" t="s">
        <v>111</v>
      </c>
      <c r="B6" s="25">
        <v>10</v>
      </c>
      <c r="C6" s="25">
        <v>8</v>
      </c>
      <c r="D6" s="25">
        <f t="shared" si="0"/>
        <v>2</v>
      </c>
      <c r="E6" s="26">
        <v>800</v>
      </c>
      <c r="F6" s="26">
        <v>920</v>
      </c>
      <c r="G6" s="26">
        <f t="shared" si="1"/>
        <v>120</v>
      </c>
      <c r="H6" s="26">
        <f t="shared" ref="H6:H11" si="2">G6/D6</f>
        <v>60</v>
      </c>
    </row>
    <row r="7" spans="1:8" ht="16.5" thickBot="1" x14ac:dyDescent="0.3">
      <c r="A7" s="24" t="s">
        <v>112</v>
      </c>
      <c r="B7" s="25">
        <v>6</v>
      </c>
      <c r="C7" s="25">
        <v>5</v>
      </c>
      <c r="D7" s="25">
        <f t="shared" si="0"/>
        <v>1</v>
      </c>
      <c r="E7" s="26">
        <v>700</v>
      </c>
      <c r="F7" s="26">
        <v>750</v>
      </c>
      <c r="G7" s="26">
        <f t="shared" si="1"/>
        <v>50</v>
      </c>
      <c r="H7" s="26">
        <f t="shared" si="2"/>
        <v>50</v>
      </c>
    </row>
    <row r="8" spans="1:8" ht="16.5" thickBot="1" x14ac:dyDescent="0.3">
      <c r="A8" s="24" t="s">
        <v>113</v>
      </c>
      <c r="B8" s="25">
        <v>8</v>
      </c>
      <c r="C8" s="25">
        <v>6</v>
      </c>
      <c r="D8" s="25">
        <f t="shared" si="0"/>
        <v>2</v>
      </c>
      <c r="E8" s="26">
        <v>1000</v>
      </c>
      <c r="F8" s="26">
        <v>1140</v>
      </c>
      <c r="G8" s="26">
        <f t="shared" si="1"/>
        <v>140</v>
      </c>
      <c r="H8" s="26">
        <f t="shared" si="2"/>
        <v>70</v>
      </c>
    </row>
    <row r="9" spans="1:8" ht="16.5" thickBot="1" x14ac:dyDescent="0.3">
      <c r="A9" s="24" t="s">
        <v>171</v>
      </c>
      <c r="B9" s="25">
        <v>9</v>
      </c>
      <c r="C9" s="25">
        <v>7</v>
      </c>
      <c r="D9" s="25">
        <f t="shared" si="0"/>
        <v>2</v>
      </c>
      <c r="E9" s="26">
        <v>1400</v>
      </c>
      <c r="F9" s="26">
        <v>1550</v>
      </c>
      <c r="G9" s="26">
        <f t="shared" si="1"/>
        <v>150</v>
      </c>
      <c r="H9" s="26">
        <f t="shared" si="2"/>
        <v>75</v>
      </c>
    </row>
    <row r="10" spans="1:8" ht="16.5" thickBot="1" x14ac:dyDescent="0.3">
      <c r="A10" s="24" t="s">
        <v>172</v>
      </c>
      <c r="B10" s="25">
        <v>14</v>
      </c>
      <c r="C10" s="25">
        <v>10</v>
      </c>
      <c r="D10" s="25">
        <f t="shared" si="0"/>
        <v>4</v>
      </c>
      <c r="E10" s="26">
        <v>3000</v>
      </c>
      <c r="F10" s="26">
        <v>3320</v>
      </c>
      <c r="G10" s="26">
        <f t="shared" si="1"/>
        <v>320</v>
      </c>
      <c r="H10" s="26">
        <f t="shared" si="2"/>
        <v>80</v>
      </c>
    </row>
    <row r="11" spans="1:8" ht="16.5" thickBot="1" x14ac:dyDescent="0.3">
      <c r="A11" s="24" t="s">
        <v>173</v>
      </c>
      <c r="B11" s="25">
        <v>10</v>
      </c>
      <c r="C11" s="25">
        <v>8</v>
      </c>
      <c r="D11" s="25">
        <f t="shared" si="0"/>
        <v>2</v>
      </c>
      <c r="E11" s="26">
        <v>900</v>
      </c>
      <c r="F11" s="26">
        <v>1020</v>
      </c>
      <c r="G11" s="26">
        <f t="shared" si="1"/>
        <v>120</v>
      </c>
      <c r="H11" s="26">
        <f t="shared" si="2"/>
        <v>60</v>
      </c>
    </row>
    <row r="32" ht="15.75" thickBot="1" x14ac:dyDescent="0.3"/>
    <row r="33" spans="1:6" ht="16.5" thickBot="1" x14ac:dyDescent="0.3">
      <c r="A33" s="27" t="s">
        <v>105</v>
      </c>
      <c r="B33" s="27" t="s">
        <v>177</v>
      </c>
      <c r="C33" s="27" t="s">
        <v>178</v>
      </c>
      <c r="D33" s="27" t="s">
        <v>179</v>
      </c>
      <c r="E33" s="27" t="s">
        <v>180</v>
      </c>
      <c r="F33" s="27" t="s">
        <v>181</v>
      </c>
    </row>
    <row r="34" spans="1:6" ht="16.5" thickBot="1" x14ac:dyDescent="0.3">
      <c r="A34" s="24" t="s">
        <v>94</v>
      </c>
      <c r="B34" s="24">
        <v>0</v>
      </c>
      <c r="C34" s="24">
        <v>6</v>
      </c>
      <c r="D34" s="24">
        <v>0</v>
      </c>
      <c r="E34" s="24">
        <v>6</v>
      </c>
      <c r="F34" s="24">
        <f>-(C34-E34)</f>
        <v>0</v>
      </c>
    </row>
    <row r="35" spans="1:6" ht="16.5" thickBot="1" x14ac:dyDescent="0.3">
      <c r="A35" s="24" t="s">
        <v>67</v>
      </c>
      <c r="B35" s="24">
        <v>6</v>
      </c>
      <c r="C35" s="24">
        <v>16</v>
      </c>
      <c r="D35" s="24">
        <v>6</v>
      </c>
      <c r="E35" s="24">
        <v>16</v>
      </c>
      <c r="F35" s="24">
        <f t="shared" ref="F35:F41" si="3">-(C35-E35)</f>
        <v>0</v>
      </c>
    </row>
    <row r="36" spans="1:6" ht="16.5" thickBot="1" x14ac:dyDescent="0.3">
      <c r="A36" s="24" t="s">
        <v>111</v>
      </c>
      <c r="B36" s="24">
        <v>6</v>
      </c>
      <c r="C36" s="24">
        <v>16</v>
      </c>
      <c r="D36" s="24">
        <v>12</v>
      </c>
      <c r="E36" s="24">
        <v>22</v>
      </c>
      <c r="F36" s="24">
        <f t="shared" si="3"/>
        <v>6</v>
      </c>
    </row>
    <row r="37" spans="1:6" ht="16.5" thickBot="1" x14ac:dyDescent="0.3">
      <c r="A37" s="24" t="s">
        <v>112</v>
      </c>
      <c r="B37" s="24">
        <v>16</v>
      </c>
      <c r="C37" s="24">
        <v>22</v>
      </c>
      <c r="D37" s="24">
        <v>16</v>
      </c>
      <c r="E37" s="24">
        <v>22</v>
      </c>
      <c r="F37" s="24">
        <f t="shared" si="3"/>
        <v>0</v>
      </c>
    </row>
    <row r="38" spans="1:6" ht="16.5" thickBot="1" x14ac:dyDescent="0.3">
      <c r="A38" s="24" t="s">
        <v>113</v>
      </c>
      <c r="B38" s="24">
        <v>16</v>
      </c>
      <c r="C38" s="24">
        <v>24</v>
      </c>
      <c r="D38" s="24">
        <v>19</v>
      </c>
      <c r="E38" s="24">
        <v>27</v>
      </c>
      <c r="F38" s="24">
        <f t="shared" si="3"/>
        <v>3</v>
      </c>
    </row>
    <row r="39" spans="1:6" ht="16.5" thickBot="1" x14ac:dyDescent="0.3">
      <c r="A39" s="24" t="s">
        <v>171</v>
      </c>
      <c r="B39" s="24">
        <v>22</v>
      </c>
      <c r="C39" s="24">
        <v>31</v>
      </c>
      <c r="D39" s="24">
        <v>22</v>
      </c>
      <c r="E39" s="24">
        <v>31</v>
      </c>
      <c r="F39" s="24">
        <f t="shared" si="3"/>
        <v>0</v>
      </c>
    </row>
    <row r="40" spans="1:6" ht="16.5" thickBot="1" x14ac:dyDescent="0.3">
      <c r="A40" s="24" t="s">
        <v>172</v>
      </c>
      <c r="B40" s="24">
        <v>24</v>
      </c>
      <c r="C40" s="24">
        <v>38</v>
      </c>
      <c r="D40" s="24">
        <v>27</v>
      </c>
      <c r="E40" s="24">
        <v>41</v>
      </c>
      <c r="F40" s="24">
        <f t="shared" si="3"/>
        <v>3</v>
      </c>
    </row>
    <row r="41" spans="1:6" ht="16.5" thickBot="1" x14ac:dyDescent="0.3">
      <c r="A41" s="24" t="s">
        <v>173</v>
      </c>
      <c r="B41" s="24">
        <v>31</v>
      </c>
      <c r="C41" s="24">
        <v>41</v>
      </c>
      <c r="D41" s="24">
        <v>31</v>
      </c>
      <c r="E41" s="24">
        <v>41</v>
      </c>
      <c r="F41" s="24">
        <f t="shared" si="3"/>
        <v>0</v>
      </c>
    </row>
    <row r="44" spans="1:6" ht="15.75" x14ac:dyDescent="0.25">
      <c r="A44" s="46" t="s">
        <v>63</v>
      </c>
    </row>
    <row r="45" spans="1:6" ht="15.75" x14ac:dyDescent="0.25">
      <c r="A45" s="12" t="s">
        <v>182</v>
      </c>
      <c r="B45" t="s">
        <v>183</v>
      </c>
    </row>
    <row r="47" spans="1:6" x14ac:dyDescent="0.25">
      <c r="A47" s="6" t="s">
        <v>64</v>
      </c>
    </row>
    <row r="48" spans="1:6" x14ac:dyDescent="0.25">
      <c r="A48" t="s">
        <v>184</v>
      </c>
    </row>
    <row r="49" spans="1:3" x14ac:dyDescent="0.25">
      <c r="A49" t="s">
        <v>185</v>
      </c>
      <c r="B49" t="s">
        <v>186</v>
      </c>
      <c r="C49" t="s">
        <v>187</v>
      </c>
    </row>
    <row r="50" spans="1:3" x14ac:dyDescent="0.25">
      <c r="A50" t="s">
        <v>112</v>
      </c>
      <c r="B50">
        <v>1</v>
      </c>
      <c r="C50" s="22">
        <v>50</v>
      </c>
    </row>
    <row r="51" spans="1:3" x14ac:dyDescent="0.25">
      <c r="A51" t="s">
        <v>173</v>
      </c>
      <c r="B51">
        <v>1</v>
      </c>
      <c r="C51" s="22">
        <v>60</v>
      </c>
    </row>
    <row r="52" spans="1:3" x14ac:dyDescent="0.25">
      <c r="C52" s="22">
        <f>C50+C51</f>
        <v>110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B73D-D25C-4D34-AEEA-E1DF09F6F48D}">
  <dimension ref="A1:H11"/>
  <sheetViews>
    <sheetView workbookViewId="0">
      <selection activeCell="C16" sqref="C16"/>
    </sheetView>
  </sheetViews>
  <sheetFormatPr defaultRowHeight="15" x14ac:dyDescent="0.25"/>
  <cols>
    <col min="1" max="1" width="4" bestFit="1" customWidth="1"/>
    <col min="2" max="2" width="25.85546875" bestFit="1" customWidth="1"/>
    <col min="3" max="3" width="15.85546875" bestFit="1" customWidth="1"/>
    <col min="4" max="4" width="15.140625" bestFit="1" customWidth="1"/>
    <col min="5" max="5" width="12.5703125" bestFit="1" customWidth="1"/>
    <col min="6" max="6" width="9.85546875" bestFit="1" customWidth="1"/>
    <col min="7" max="7" width="7.5703125" bestFit="1" customWidth="1"/>
    <col min="8" max="8" width="15.85546875" bestFit="1" customWidth="1"/>
  </cols>
  <sheetData>
    <row r="1" spans="1:8" x14ac:dyDescent="0.25">
      <c r="A1" t="s">
        <v>45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>
        <v>1</v>
      </c>
      <c r="B2">
        <v>20</v>
      </c>
      <c r="C2">
        <v>42</v>
      </c>
      <c r="D2">
        <f>C2-B2</f>
        <v>22</v>
      </c>
      <c r="E2" s="3">
        <v>1.1000000000000001</v>
      </c>
      <c r="F2">
        <f>D2-B2</f>
        <v>2</v>
      </c>
      <c r="G2">
        <f>RANK(E2,$E$2:$E$6,1)</f>
        <v>2</v>
      </c>
      <c r="H2" t="s">
        <v>53</v>
      </c>
    </row>
    <row r="3" spans="1:8" x14ac:dyDescent="0.25">
      <c r="A3">
        <v>2</v>
      </c>
      <c r="B3">
        <v>18</v>
      </c>
      <c r="C3">
        <v>24</v>
      </c>
      <c r="D3">
        <f t="shared" ref="D3:D6" si="0">C3-B3</f>
        <v>6</v>
      </c>
      <c r="E3" s="3">
        <v>0.33</v>
      </c>
      <c r="F3">
        <f t="shared" ref="F3:F6" si="1">D3-B3</f>
        <v>-12</v>
      </c>
      <c r="G3">
        <f t="shared" ref="G3:G6" si="2">RANK(E3,$E$2:$E$6,1)</f>
        <v>1</v>
      </c>
      <c r="H3" t="s">
        <v>54</v>
      </c>
    </row>
    <row r="4" spans="1:8" x14ac:dyDescent="0.25">
      <c r="A4">
        <v>3</v>
      </c>
      <c r="B4">
        <v>25</v>
      </c>
      <c r="C4">
        <v>80</v>
      </c>
      <c r="D4">
        <f t="shared" si="0"/>
        <v>55</v>
      </c>
      <c r="E4" s="3">
        <v>1.8</v>
      </c>
      <c r="F4">
        <f t="shared" si="1"/>
        <v>30</v>
      </c>
      <c r="G4">
        <f t="shared" si="2"/>
        <v>4</v>
      </c>
      <c r="H4" t="s">
        <v>55</v>
      </c>
    </row>
    <row r="5" spans="1:8" x14ac:dyDescent="0.25">
      <c r="A5">
        <v>4</v>
      </c>
      <c r="B5">
        <v>32</v>
      </c>
      <c r="C5">
        <v>90</v>
      </c>
      <c r="D5">
        <f t="shared" si="0"/>
        <v>58</v>
      </c>
      <c r="E5" s="3">
        <v>1.81</v>
      </c>
      <c r="F5">
        <f t="shared" si="1"/>
        <v>26</v>
      </c>
      <c r="G5">
        <f t="shared" si="2"/>
        <v>5</v>
      </c>
      <c r="H5" t="s">
        <v>56</v>
      </c>
    </row>
    <row r="6" spans="1:8" x14ac:dyDescent="0.25">
      <c r="A6">
        <v>5</v>
      </c>
      <c r="B6">
        <v>30</v>
      </c>
      <c r="C6">
        <v>65</v>
      </c>
      <c r="D6">
        <f t="shared" si="0"/>
        <v>35</v>
      </c>
      <c r="E6" s="3">
        <v>1.17</v>
      </c>
      <c r="F6">
        <f t="shared" si="1"/>
        <v>5</v>
      </c>
      <c r="G6">
        <f t="shared" si="2"/>
        <v>3</v>
      </c>
      <c r="H6" t="s">
        <v>57</v>
      </c>
    </row>
    <row r="8" spans="1:8" x14ac:dyDescent="0.25">
      <c r="B8" t="s">
        <v>58</v>
      </c>
      <c r="C8" t="s">
        <v>59</v>
      </c>
    </row>
    <row r="9" spans="1:8" x14ac:dyDescent="0.25">
      <c r="B9" t="s">
        <v>62</v>
      </c>
      <c r="C9" t="s">
        <v>59</v>
      </c>
    </row>
    <row r="10" spans="1:8" x14ac:dyDescent="0.25">
      <c r="B10" t="s">
        <v>63</v>
      </c>
      <c r="C10" t="s">
        <v>60</v>
      </c>
    </row>
    <row r="11" spans="1:8" x14ac:dyDescent="0.25">
      <c r="B11" t="s">
        <v>64</v>
      </c>
      <c r="C11" t="s">
        <v>61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0B23-ABA1-47B0-96CC-C0B1D80519EE}">
  <dimension ref="A1:F38"/>
  <sheetViews>
    <sheetView workbookViewId="0">
      <selection activeCell="A23" sqref="A23"/>
    </sheetView>
  </sheetViews>
  <sheetFormatPr defaultRowHeight="15" x14ac:dyDescent="0.25"/>
  <cols>
    <col min="1" max="1" width="29.28515625" bestFit="1" customWidth="1"/>
  </cols>
  <sheetData>
    <row r="1" spans="1:2" x14ac:dyDescent="0.25">
      <c r="A1" t="s">
        <v>65</v>
      </c>
      <c r="B1">
        <v>5000000</v>
      </c>
    </row>
    <row r="2" spans="1:2" x14ac:dyDescent="0.25">
      <c r="A2" t="s">
        <v>1</v>
      </c>
      <c r="B2">
        <v>675</v>
      </c>
    </row>
    <row r="3" spans="1:2" x14ac:dyDescent="0.25">
      <c r="A3" t="s">
        <v>66</v>
      </c>
      <c r="B3" s="8">
        <v>6.4999999999999997E-3</v>
      </c>
    </row>
    <row r="5" spans="1:2" x14ac:dyDescent="0.25">
      <c r="A5" s="6" t="s">
        <v>58</v>
      </c>
    </row>
    <row r="6" spans="1:2" x14ac:dyDescent="0.25">
      <c r="A6" s="11" t="s">
        <v>3</v>
      </c>
      <c r="B6" s="11">
        <f>(2*B1*B2/B3)^(1/2)</f>
        <v>1019049.3307301361</v>
      </c>
    </row>
    <row r="8" spans="1:2" x14ac:dyDescent="0.25">
      <c r="A8" s="6" t="s">
        <v>62</v>
      </c>
    </row>
    <row r="9" spans="1:2" x14ac:dyDescent="0.25">
      <c r="A9" t="s">
        <v>4</v>
      </c>
      <c r="B9">
        <f>(B6*12/2)*B3</f>
        <v>39742.92389847531</v>
      </c>
    </row>
    <row r="10" spans="1:2" x14ac:dyDescent="0.25">
      <c r="A10" t="s">
        <v>5</v>
      </c>
      <c r="B10">
        <f>(B1*12/B6)*B2</f>
        <v>39742.923898475317</v>
      </c>
    </row>
    <row r="11" spans="1:2" x14ac:dyDescent="0.25">
      <c r="A11" s="11" t="s">
        <v>77</v>
      </c>
      <c r="B11" s="11">
        <f>B9+B10</f>
        <v>79485.847796950635</v>
      </c>
    </row>
    <row r="13" spans="1:2" x14ac:dyDescent="0.25">
      <c r="A13" s="6" t="s">
        <v>63</v>
      </c>
    </row>
    <row r="14" spans="1:2" x14ac:dyDescent="0.25">
      <c r="A14" t="s">
        <v>0</v>
      </c>
      <c r="B14">
        <f>B1*12</f>
        <v>60000000</v>
      </c>
    </row>
    <row r="15" spans="1:2" x14ac:dyDescent="0.25">
      <c r="A15" t="s">
        <v>68</v>
      </c>
      <c r="B15">
        <v>250</v>
      </c>
    </row>
    <row r="16" spans="1:2" x14ac:dyDescent="0.25">
      <c r="A16" t="s">
        <v>69</v>
      </c>
      <c r="B16">
        <f>B14/B15</f>
        <v>240000</v>
      </c>
    </row>
    <row r="17" spans="1:2" x14ac:dyDescent="0.25">
      <c r="A17" t="s">
        <v>70</v>
      </c>
      <c r="B17">
        <v>4</v>
      </c>
    </row>
    <row r="18" spans="1:2" x14ac:dyDescent="0.25">
      <c r="A18" t="s">
        <v>71</v>
      </c>
      <c r="B18">
        <f>B16*B17</f>
        <v>960000</v>
      </c>
    </row>
    <row r="19" spans="1:2" x14ac:dyDescent="0.25">
      <c r="A19" t="s">
        <v>72</v>
      </c>
      <c r="B19">
        <f>B18</f>
        <v>960000</v>
      </c>
    </row>
    <row r="20" spans="1:2" x14ac:dyDescent="0.25">
      <c r="A20" t="s">
        <v>3</v>
      </c>
      <c r="B20">
        <f>B6</f>
        <v>1019049.3307301361</v>
      </c>
    </row>
    <row r="21" spans="1:2" x14ac:dyDescent="0.25">
      <c r="A21" s="11" t="s">
        <v>73</v>
      </c>
      <c r="B21" s="11">
        <f>B19</f>
        <v>960000</v>
      </c>
    </row>
    <row r="23" spans="1:2" x14ac:dyDescent="0.25">
      <c r="A23" s="47" t="s">
        <v>64</v>
      </c>
    </row>
    <row r="24" spans="1:2" x14ac:dyDescent="0.25">
      <c r="A24" t="s">
        <v>74</v>
      </c>
      <c r="B24">
        <v>800000</v>
      </c>
    </row>
    <row r="25" spans="1:2" x14ac:dyDescent="0.25">
      <c r="A25" t="s">
        <v>75</v>
      </c>
      <c r="B25">
        <f>(B24*12/2)*$B$3</f>
        <v>31200</v>
      </c>
    </row>
    <row r="26" spans="1:2" x14ac:dyDescent="0.25">
      <c r="A26" t="s">
        <v>76</v>
      </c>
      <c r="B26">
        <f>($B$1*12/B24)*$B$2</f>
        <v>50625</v>
      </c>
    </row>
    <row r="27" spans="1:2" x14ac:dyDescent="0.25">
      <c r="A27" t="s">
        <v>77</v>
      </c>
      <c r="B27">
        <f>B25+B26</f>
        <v>81825</v>
      </c>
    </row>
    <row r="29" spans="1:2" x14ac:dyDescent="0.25">
      <c r="A29" t="s">
        <v>74</v>
      </c>
      <c r="B29">
        <v>750000</v>
      </c>
    </row>
    <row r="30" spans="1:2" x14ac:dyDescent="0.25">
      <c r="A30" t="s">
        <v>75</v>
      </c>
      <c r="B30">
        <f>(B29*12/2)*$B$3</f>
        <v>29250</v>
      </c>
    </row>
    <row r="31" spans="1:2" x14ac:dyDescent="0.25">
      <c r="A31" t="s">
        <v>76</v>
      </c>
      <c r="B31">
        <f>($B$1*12/B29)*$B$2</f>
        <v>54000</v>
      </c>
    </row>
    <row r="32" spans="1:2" x14ac:dyDescent="0.25">
      <c r="A32" t="s">
        <v>77</v>
      </c>
      <c r="B32">
        <f>B30+B31</f>
        <v>83250</v>
      </c>
    </row>
    <row r="34" spans="1:6" x14ac:dyDescent="0.25">
      <c r="A34" s="9" t="s">
        <v>78</v>
      </c>
      <c r="B34" s="9"/>
      <c r="C34" s="9"/>
      <c r="D34" s="9"/>
      <c r="E34" s="9"/>
      <c r="F34" s="9"/>
    </row>
    <row r="35" spans="1:6" x14ac:dyDescent="0.25">
      <c r="A35" s="9"/>
      <c r="B35" s="9"/>
      <c r="C35" s="9"/>
      <c r="D35" s="9"/>
      <c r="E35" s="9"/>
      <c r="F35" s="9"/>
    </row>
    <row r="36" spans="1:6" x14ac:dyDescent="0.25">
      <c r="A36" s="9"/>
      <c r="B36" s="9"/>
      <c r="C36" s="9"/>
      <c r="D36" s="9"/>
      <c r="E36" s="9"/>
      <c r="F36" s="9"/>
    </row>
    <row r="37" spans="1:6" x14ac:dyDescent="0.25">
      <c r="A37" s="10"/>
      <c r="B37" s="10"/>
      <c r="C37" s="10"/>
      <c r="D37" s="10"/>
      <c r="E37" s="10"/>
      <c r="F37" s="10"/>
    </row>
    <row r="38" spans="1:6" ht="15" customHeight="1" x14ac:dyDescent="0.25">
      <c r="A38" s="9" t="s">
        <v>79</v>
      </c>
      <c r="B38" s="9"/>
      <c r="C38" s="10"/>
      <c r="D38" s="10"/>
      <c r="E38" s="10"/>
      <c r="F38" s="10"/>
    </row>
  </sheetData>
  <mergeCells count="2">
    <mergeCell ref="A34:F36"/>
    <mergeCell ref="A38:B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29FC-C366-44C3-B999-C00B115EEA23}">
  <dimension ref="A1:J21"/>
  <sheetViews>
    <sheetView workbookViewId="0">
      <selection activeCell="A13" sqref="A13:C13"/>
    </sheetView>
  </sheetViews>
  <sheetFormatPr defaultRowHeight="15" x14ac:dyDescent="0.25"/>
  <cols>
    <col min="1" max="1" width="8.5703125" style="30" bestFit="1" customWidth="1"/>
    <col min="2" max="2" width="12" style="30" bestFit="1" customWidth="1"/>
    <col min="3" max="3" width="12.28515625" style="30" bestFit="1" customWidth="1"/>
    <col min="4" max="4" width="11.5703125" style="30" bestFit="1" customWidth="1"/>
    <col min="5" max="5" width="16.140625" style="30" bestFit="1" customWidth="1"/>
    <col min="6" max="7" width="11.5703125" style="30" bestFit="1" customWidth="1"/>
    <col min="8" max="9" width="13.5703125" style="30" bestFit="1" customWidth="1"/>
    <col min="10" max="10" width="9.140625" style="35"/>
    <col min="11" max="16384" width="9.140625" style="30"/>
  </cols>
  <sheetData>
    <row r="1" spans="1:10" ht="15.75" thickBot="1" x14ac:dyDescent="0.3">
      <c r="A1" s="48" t="s">
        <v>188</v>
      </c>
      <c r="B1" s="49"/>
      <c r="C1" s="50"/>
      <c r="D1" s="28"/>
      <c r="E1" s="28" t="s">
        <v>80</v>
      </c>
      <c r="F1" s="28">
        <v>2000</v>
      </c>
      <c r="G1" s="28"/>
      <c r="H1" s="28"/>
      <c r="I1" s="28"/>
      <c r="J1" s="29"/>
    </row>
    <row r="2" spans="1:10" ht="30.75" thickBot="1" x14ac:dyDescent="0.3">
      <c r="A2" s="28"/>
      <c r="B2" s="28"/>
      <c r="C2" s="28"/>
      <c r="D2" s="28"/>
      <c r="E2" s="28" t="s">
        <v>81</v>
      </c>
      <c r="F2" s="28">
        <v>5000</v>
      </c>
      <c r="G2" s="28"/>
      <c r="H2" s="28"/>
      <c r="I2" s="28"/>
      <c r="J2" s="29"/>
    </row>
    <row r="3" spans="1:10" ht="45.75" thickBot="1" x14ac:dyDescent="0.3">
      <c r="A3" s="28"/>
      <c r="B3" s="28" t="s">
        <v>82</v>
      </c>
      <c r="C3" s="28" t="s">
        <v>83</v>
      </c>
      <c r="D3" s="28" t="s">
        <v>84</v>
      </c>
      <c r="E3" s="28" t="s">
        <v>85</v>
      </c>
      <c r="F3" s="28" t="s">
        <v>86</v>
      </c>
      <c r="G3" s="28" t="s">
        <v>87</v>
      </c>
      <c r="H3" s="28" t="s">
        <v>88</v>
      </c>
      <c r="I3" s="28"/>
      <c r="J3" s="29"/>
    </row>
    <row r="4" spans="1:10" ht="15.75" thickBot="1" x14ac:dyDescent="0.3">
      <c r="A4" s="28" t="s">
        <v>89</v>
      </c>
      <c r="B4" s="28">
        <v>2</v>
      </c>
      <c r="C4" s="28">
        <v>0.1</v>
      </c>
      <c r="D4" s="28">
        <v>2.5</v>
      </c>
      <c r="E4" s="28">
        <f>C4/B4</f>
        <v>0.05</v>
      </c>
      <c r="F4" s="28">
        <f>D4*$F$1</f>
        <v>5000</v>
      </c>
      <c r="G4" s="28">
        <f>E4*$F$2</f>
        <v>250</v>
      </c>
      <c r="H4" s="28">
        <f>F4+G4</f>
        <v>5250</v>
      </c>
      <c r="I4" s="28"/>
      <c r="J4" s="29"/>
    </row>
    <row r="5" spans="1:10" ht="15.75" thickBot="1" x14ac:dyDescent="0.3">
      <c r="A5" s="28" t="s">
        <v>90</v>
      </c>
      <c r="B5" s="28">
        <v>3</v>
      </c>
      <c r="C5" s="28">
        <v>0.5</v>
      </c>
      <c r="D5" s="31">
        <v>1.6666666666666701</v>
      </c>
      <c r="E5" s="31">
        <f t="shared" ref="E5:E7" si="0">C5/B5</f>
        <v>0.16666666666666666</v>
      </c>
      <c r="F5" s="32">
        <f t="shared" ref="F5:F7" si="1">D5*$F$1</f>
        <v>3333.3333333333403</v>
      </c>
      <c r="G5" s="28">
        <f t="shared" ref="G5:G7" si="2">E5*$F$2</f>
        <v>833.33333333333326</v>
      </c>
      <c r="H5" s="33">
        <f>F5+G5</f>
        <v>4166.6666666666733</v>
      </c>
      <c r="I5" s="33" t="s">
        <v>91</v>
      </c>
      <c r="J5" s="29"/>
    </row>
    <row r="6" spans="1:10" ht="15.75" thickBot="1" x14ac:dyDescent="0.3">
      <c r="A6" s="28" t="s">
        <v>92</v>
      </c>
      <c r="B6" s="28">
        <v>4</v>
      </c>
      <c r="C6" s="28">
        <v>1.6</v>
      </c>
      <c r="D6" s="28">
        <v>1.25</v>
      </c>
      <c r="E6" s="28">
        <f t="shared" si="0"/>
        <v>0.4</v>
      </c>
      <c r="F6" s="28">
        <f t="shared" si="1"/>
        <v>2500</v>
      </c>
      <c r="G6" s="28">
        <f t="shared" si="2"/>
        <v>2000</v>
      </c>
      <c r="H6" s="28">
        <f>F6+G6</f>
        <v>4500</v>
      </c>
      <c r="I6" s="28"/>
      <c r="J6" s="29"/>
    </row>
    <row r="7" spans="1:10" ht="15.75" thickBot="1" x14ac:dyDescent="0.3">
      <c r="A7" s="34" t="s">
        <v>93</v>
      </c>
      <c r="B7" s="34">
        <v>5</v>
      </c>
      <c r="C7" s="34">
        <v>3.2</v>
      </c>
      <c r="D7" s="34">
        <v>1</v>
      </c>
      <c r="E7" s="34">
        <f t="shared" si="0"/>
        <v>0.64</v>
      </c>
      <c r="F7" s="28">
        <f t="shared" si="1"/>
        <v>2000</v>
      </c>
      <c r="G7" s="28">
        <f t="shared" si="2"/>
        <v>3200</v>
      </c>
      <c r="H7" s="34">
        <f>F7+G7</f>
        <v>5200</v>
      </c>
      <c r="I7" s="34"/>
      <c r="J7" s="29"/>
    </row>
    <row r="8" spans="1:10" s="35" customForma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s="35" customForma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s="35" customForma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s="35" customForma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35" customFormat="1" ht="15.75" thickBot="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29"/>
    </row>
    <row r="13" spans="1:10" ht="15.75" thickBot="1" x14ac:dyDescent="0.3">
      <c r="A13" s="51" t="s">
        <v>189</v>
      </c>
      <c r="B13" s="52"/>
      <c r="C13" s="53"/>
      <c r="D13" s="37"/>
      <c r="E13" s="37" t="s">
        <v>80</v>
      </c>
      <c r="F13" s="37">
        <v>2000</v>
      </c>
      <c r="G13" s="37"/>
      <c r="H13" s="37"/>
      <c r="I13" s="37"/>
      <c r="J13" s="29"/>
    </row>
    <row r="14" spans="1:10" ht="30.75" thickBot="1" x14ac:dyDescent="0.3">
      <c r="A14" s="28"/>
      <c r="B14" s="28"/>
      <c r="C14" s="28"/>
      <c r="D14" s="28"/>
      <c r="E14" s="28" t="s">
        <v>81</v>
      </c>
      <c r="F14" s="31">
        <v>3571.432143</v>
      </c>
      <c r="G14" s="28"/>
      <c r="H14" s="28"/>
      <c r="I14" s="28"/>
      <c r="J14" s="29"/>
    </row>
    <row r="15" spans="1:10" ht="45.75" thickBot="1" x14ac:dyDescent="0.3">
      <c r="A15" s="28"/>
      <c r="B15" s="28" t="s">
        <v>82</v>
      </c>
      <c r="C15" s="28" t="s">
        <v>83</v>
      </c>
      <c r="D15" s="28" t="s">
        <v>84</v>
      </c>
      <c r="E15" s="28" t="s">
        <v>85</v>
      </c>
      <c r="F15" s="28" t="s">
        <v>86</v>
      </c>
      <c r="G15" s="28" t="s">
        <v>87</v>
      </c>
      <c r="H15" s="28" t="s">
        <v>88</v>
      </c>
      <c r="I15" s="28"/>
      <c r="J15" s="29"/>
    </row>
    <row r="16" spans="1:10" ht="15.75" thickBot="1" x14ac:dyDescent="0.3">
      <c r="A16" s="28" t="s">
        <v>90</v>
      </c>
      <c r="B16" s="28">
        <v>3</v>
      </c>
      <c r="C16" s="28">
        <v>0.5</v>
      </c>
      <c r="D16" s="28">
        <v>1.6666666666666601</v>
      </c>
      <c r="E16" s="31">
        <f>C16/B16</f>
        <v>0.16666666666666666</v>
      </c>
      <c r="F16" s="32">
        <f>D16*$F$13</f>
        <v>3333.3333333333203</v>
      </c>
      <c r="G16" s="31">
        <f>E16*$F$14</f>
        <v>595.23869049999996</v>
      </c>
      <c r="H16" s="38">
        <f>F16+G16</f>
        <v>3928.5720238333201</v>
      </c>
      <c r="I16" s="32"/>
      <c r="J16" s="29"/>
    </row>
    <row r="17" spans="1:10" ht="15.75" thickBot="1" x14ac:dyDescent="0.3">
      <c r="A17" s="34" t="s">
        <v>92</v>
      </c>
      <c r="B17" s="34">
        <v>4</v>
      </c>
      <c r="C17" s="34">
        <v>1.6</v>
      </c>
      <c r="D17" s="34">
        <v>1.25</v>
      </c>
      <c r="E17" s="39">
        <f>C17/B17</f>
        <v>0.4</v>
      </c>
      <c r="F17" s="40">
        <f>D17*$F$13</f>
        <v>2500</v>
      </c>
      <c r="G17" s="39">
        <f>E17*$F$14</f>
        <v>1428.5728572</v>
      </c>
      <c r="H17" s="41">
        <f>F17+G17</f>
        <v>3928.5728571999998</v>
      </c>
      <c r="I17" s="42"/>
      <c r="J17" s="29"/>
    </row>
    <row r="18" spans="1:10" s="35" customForma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 s="35" customForma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</row>
    <row r="20" spans="1:10" x14ac:dyDescent="0.25">
      <c r="A20" s="43"/>
    </row>
    <row r="21" spans="1:10" x14ac:dyDescent="0.25">
      <c r="A21" s="44"/>
    </row>
  </sheetData>
  <mergeCells count="2">
    <mergeCell ref="A1:C1"/>
    <mergeCell ref="A13:C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026F-B636-4B79-AB8C-145D5D57F24C}">
  <dimension ref="A2:B16"/>
  <sheetViews>
    <sheetView workbookViewId="0">
      <selection activeCell="A14" sqref="A14:B14"/>
    </sheetView>
  </sheetViews>
  <sheetFormatPr defaultRowHeight="15" x14ac:dyDescent="0.25"/>
  <cols>
    <col min="1" max="1" width="26.28515625" bestFit="1" customWidth="1"/>
  </cols>
  <sheetData>
    <row r="2" spans="1:2" x14ac:dyDescent="0.25">
      <c r="A2" t="s">
        <v>94</v>
      </c>
      <c r="B2">
        <v>0.9</v>
      </c>
    </row>
    <row r="3" spans="1:2" x14ac:dyDescent="0.25">
      <c r="A3" t="s">
        <v>67</v>
      </c>
      <c r="B3">
        <v>0.9</v>
      </c>
    </row>
    <row r="4" spans="1:2" x14ac:dyDescent="0.25">
      <c r="A4" t="s">
        <v>95</v>
      </c>
      <c r="B4">
        <f>B2*B3</f>
        <v>0.81</v>
      </c>
    </row>
    <row r="6" spans="1:2" x14ac:dyDescent="0.25">
      <c r="A6" t="s">
        <v>96</v>
      </c>
    </row>
    <row r="7" spans="1:2" x14ac:dyDescent="0.25">
      <c r="A7" t="s">
        <v>98</v>
      </c>
    </row>
    <row r="8" spans="1:2" x14ac:dyDescent="0.25">
      <c r="A8" t="s">
        <v>99</v>
      </c>
      <c r="B8">
        <f>1-B2</f>
        <v>9.9999999999999978E-2</v>
      </c>
    </row>
    <row r="9" spans="1:2" x14ac:dyDescent="0.25">
      <c r="A9" t="s">
        <v>100</v>
      </c>
      <c r="B9">
        <f>1-B3</f>
        <v>9.9999999999999978E-2</v>
      </c>
    </row>
    <row r="10" spans="1:2" x14ac:dyDescent="0.25">
      <c r="A10" t="s">
        <v>97</v>
      </c>
      <c r="B10">
        <f>1-(B8*B9)</f>
        <v>0.99</v>
      </c>
    </row>
    <row r="12" spans="1:2" x14ac:dyDescent="0.25">
      <c r="A12" t="s">
        <v>101</v>
      </c>
    </row>
    <row r="13" spans="1:2" x14ac:dyDescent="0.25">
      <c r="A13" t="s">
        <v>102</v>
      </c>
    </row>
    <row r="14" spans="1:2" x14ac:dyDescent="0.25">
      <c r="A14" s="11" t="s">
        <v>104</v>
      </c>
      <c r="B14" s="11">
        <f>0.99*0.99</f>
        <v>0.98009999999999997</v>
      </c>
    </row>
    <row r="16" spans="1:2" x14ac:dyDescent="0.25">
      <c r="A16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</dc:creator>
  <cp:lastModifiedBy>Tom </cp:lastModifiedBy>
  <dcterms:created xsi:type="dcterms:W3CDTF">2021-03-06T09:30:41Z</dcterms:created>
  <dcterms:modified xsi:type="dcterms:W3CDTF">2021-03-06T16:24:18Z</dcterms:modified>
</cp:coreProperties>
</file>