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fied\Downloads\"/>
    </mc:Choice>
  </mc:AlternateContent>
  <xr:revisionPtr revIDLastSave="0" documentId="8_{211DE0FE-9A8C-4A47-85FF-6CBB7DF9B0E7}" xr6:coauthVersionLast="45" xr6:coauthVersionMax="45" xr10:uidLastSave="{00000000-0000-0000-0000-000000000000}"/>
  <bookViews>
    <workbookView xWindow="-120" yWindow="-120" windowWidth="20730" windowHeight="11160" activeTab="2" xr2:uid="{383A89B7-F830-41AA-BD43-ECEF95AD16B8}"/>
  </bookViews>
  <sheets>
    <sheet name="NPV, IRR &amp; Pay back" sheetId="1" r:id="rId1"/>
    <sheet name="Sensitivity analysis" sheetId="3" r:id="rId2"/>
    <sheet name="NPV Profile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6" i="3" l="1"/>
  <c r="C72" i="3"/>
  <c r="D38" i="3"/>
  <c r="D5" i="3"/>
  <c r="D8" i="3" s="1"/>
  <c r="D14" i="3" s="1"/>
  <c r="D16" i="3" s="1"/>
  <c r="D22" i="3" s="1"/>
  <c r="C121" i="3"/>
  <c r="M120" i="3"/>
  <c r="L120" i="3"/>
  <c r="K120" i="3"/>
  <c r="J120" i="3"/>
  <c r="I120" i="3"/>
  <c r="H120" i="3"/>
  <c r="G120" i="3"/>
  <c r="F120" i="3"/>
  <c r="E120" i="3"/>
  <c r="D120" i="3"/>
  <c r="C120" i="3"/>
  <c r="C119" i="3"/>
  <c r="C105" i="3"/>
  <c r="C104" i="3"/>
  <c r="C103" i="3"/>
  <c r="D106" i="3" s="1"/>
  <c r="D101" i="3"/>
  <c r="D100" i="3"/>
  <c r="D98" i="3"/>
  <c r="C90" i="3"/>
  <c r="M89" i="3"/>
  <c r="L89" i="3"/>
  <c r="K89" i="3"/>
  <c r="J89" i="3"/>
  <c r="I89" i="3"/>
  <c r="H89" i="3"/>
  <c r="G89" i="3"/>
  <c r="F89" i="3"/>
  <c r="E89" i="3"/>
  <c r="D89" i="3"/>
  <c r="C89" i="3"/>
  <c r="C88" i="3"/>
  <c r="C75" i="3"/>
  <c r="C74" i="3"/>
  <c r="C73" i="3"/>
  <c r="D75" i="3"/>
  <c r="D70" i="3"/>
  <c r="D69" i="3"/>
  <c r="D67" i="3"/>
  <c r="C59" i="3"/>
  <c r="M58" i="3"/>
  <c r="L58" i="3"/>
  <c r="K58" i="3"/>
  <c r="J58" i="3"/>
  <c r="I58" i="3"/>
  <c r="H58" i="3"/>
  <c r="G58" i="3"/>
  <c r="F58" i="3"/>
  <c r="E58" i="3"/>
  <c r="D58" i="3"/>
  <c r="C58" i="3"/>
  <c r="C57" i="3"/>
  <c r="C44" i="3"/>
  <c r="C43" i="3"/>
  <c r="C42" i="3"/>
  <c r="C41" i="3"/>
  <c r="D44" i="3" s="1"/>
  <c r="D39" i="3"/>
  <c r="D36" i="3"/>
  <c r="C28" i="3"/>
  <c r="M27" i="3"/>
  <c r="L27" i="3"/>
  <c r="K27" i="3"/>
  <c r="J27" i="3"/>
  <c r="I27" i="3"/>
  <c r="H27" i="3"/>
  <c r="G27" i="3"/>
  <c r="F27" i="3"/>
  <c r="E27" i="3"/>
  <c r="D27" i="3"/>
  <c r="C27" i="3"/>
  <c r="C26" i="3"/>
  <c r="C13" i="3"/>
  <c r="D13" i="3" s="1"/>
  <c r="C12" i="3"/>
  <c r="C11" i="3"/>
  <c r="C10" i="3"/>
  <c r="D7" i="3"/>
  <c r="H60" i="1"/>
  <c r="I60" i="1" s="1"/>
  <c r="G60" i="1"/>
  <c r="F60" i="1"/>
  <c r="L5" i="2"/>
  <c r="L6" i="2"/>
  <c r="L7" i="2"/>
  <c r="L8" i="2"/>
  <c r="L9" i="2"/>
  <c r="L10" i="2"/>
  <c r="L11" i="2"/>
  <c r="L12" i="2"/>
  <c r="L13" i="2"/>
  <c r="L14" i="2"/>
  <c r="K5" i="2"/>
  <c r="K6" i="2"/>
  <c r="K7" i="2"/>
  <c r="K8" i="2"/>
  <c r="K9" i="2"/>
  <c r="K10" i="2"/>
  <c r="K11" i="2"/>
  <c r="K12" i="2"/>
  <c r="K13" i="2"/>
  <c r="K14" i="2"/>
  <c r="J5" i="2"/>
  <c r="J6" i="2"/>
  <c r="J7" i="2"/>
  <c r="J8" i="2"/>
  <c r="J9" i="2"/>
  <c r="J10" i="2"/>
  <c r="J11" i="2"/>
  <c r="J12" i="2"/>
  <c r="J13" i="2"/>
  <c r="J14" i="2"/>
  <c r="I5" i="2"/>
  <c r="I6" i="2"/>
  <c r="I7" i="2"/>
  <c r="I8" i="2"/>
  <c r="I9" i="2"/>
  <c r="I10" i="2"/>
  <c r="I11" i="2"/>
  <c r="I12" i="2"/>
  <c r="I13" i="2"/>
  <c r="I14" i="2"/>
  <c r="H5" i="2"/>
  <c r="H6" i="2"/>
  <c r="H7" i="2"/>
  <c r="H8" i="2"/>
  <c r="H9" i="2"/>
  <c r="H10" i="2"/>
  <c r="H11" i="2"/>
  <c r="H12" i="2"/>
  <c r="H13" i="2"/>
  <c r="H14" i="2"/>
  <c r="G5" i="2"/>
  <c r="G6" i="2"/>
  <c r="G7" i="2"/>
  <c r="G8" i="2"/>
  <c r="G9" i="2"/>
  <c r="G10" i="2"/>
  <c r="G11" i="2"/>
  <c r="G12" i="2"/>
  <c r="G13" i="2"/>
  <c r="G14" i="2"/>
  <c r="F5" i="2"/>
  <c r="F6" i="2"/>
  <c r="F7" i="2"/>
  <c r="F8" i="2"/>
  <c r="F9" i="2"/>
  <c r="F10" i="2"/>
  <c r="F11" i="2"/>
  <c r="F12" i="2"/>
  <c r="F13" i="2"/>
  <c r="F14" i="2"/>
  <c r="E5" i="2"/>
  <c r="E6" i="2"/>
  <c r="E7" i="2"/>
  <c r="E8" i="2"/>
  <c r="E9" i="2"/>
  <c r="E10" i="2"/>
  <c r="E11" i="2"/>
  <c r="E12" i="2"/>
  <c r="E13" i="2"/>
  <c r="E14" i="2"/>
  <c r="L4" i="2"/>
  <c r="K4" i="2"/>
  <c r="J4" i="2"/>
  <c r="I4" i="2"/>
  <c r="H4" i="2"/>
  <c r="G4" i="2"/>
  <c r="F4" i="2"/>
  <c r="E4" i="2"/>
  <c r="D5" i="2"/>
  <c r="D6" i="2"/>
  <c r="D7" i="2"/>
  <c r="D8" i="2"/>
  <c r="D9" i="2"/>
  <c r="D10" i="2"/>
  <c r="D11" i="2"/>
  <c r="D12" i="2"/>
  <c r="D13" i="2"/>
  <c r="D14" i="2"/>
  <c r="D4" i="2"/>
  <c r="E74" i="1"/>
  <c r="E73" i="1"/>
  <c r="G70" i="1"/>
  <c r="H70" i="1" s="1"/>
  <c r="E50" i="1"/>
  <c r="F64" i="1"/>
  <c r="F65" i="1"/>
  <c r="G65" i="1"/>
  <c r="H65" i="1"/>
  <c r="I65" i="1"/>
  <c r="J65" i="1"/>
  <c r="K65" i="1"/>
  <c r="L65" i="1"/>
  <c r="M65" i="1"/>
  <c r="N65" i="1"/>
  <c r="O65" i="1"/>
  <c r="E65" i="1"/>
  <c r="G64" i="1"/>
  <c r="G66" i="1" s="1"/>
  <c r="H64" i="1"/>
  <c r="E64" i="1"/>
  <c r="E49" i="1"/>
  <c r="E51" i="1"/>
  <c r="E48" i="1"/>
  <c r="F45" i="1"/>
  <c r="F43" i="1"/>
  <c r="E10" i="1"/>
  <c r="D107" i="3" l="1"/>
  <c r="D109" i="3" s="1"/>
  <c r="D115" i="3" s="1"/>
  <c r="D76" i="3"/>
  <c r="D78" i="3" s="1"/>
  <c r="D84" i="3" s="1"/>
  <c r="D45" i="3"/>
  <c r="D47" i="3" s="1"/>
  <c r="D53" i="3" s="1"/>
  <c r="D26" i="3"/>
  <c r="D28" i="3" s="1"/>
  <c r="E22" i="3"/>
  <c r="J60" i="1"/>
  <c r="I64" i="1"/>
  <c r="I70" i="1"/>
  <c r="D15" i="2"/>
  <c r="E15" i="2"/>
  <c r="G15" i="2"/>
  <c r="H15" i="2"/>
  <c r="J15" i="2"/>
  <c r="K15" i="2"/>
  <c r="F15" i="2"/>
  <c r="I66" i="1"/>
  <c r="F46" i="1"/>
  <c r="F51" i="1"/>
  <c r="E66" i="1"/>
  <c r="H66" i="1"/>
  <c r="F66" i="1"/>
  <c r="D119" i="3" l="1"/>
  <c r="D121" i="3" s="1"/>
  <c r="E115" i="3"/>
  <c r="D88" i="3"/>
  <c r="D90" i="3" s="1"/>
  <c r="E84" i="3"/>
  <c r="D57" i="3"/>
  <c r="D59" i="3" s="1"/>
  <c r="E53" i="3"/>
  <c r="E26" i="3"/>
  <c r="E28" i="3" s="1"/>
  <c r="F22" i="3"/>
  <c r="J70" i="1"/>
  <c r="J64" i="1"/>
  <c r="K60" i="1"/>
  <c r="I15" i="2"/>
  <c r="L15" i="2"/>
  <c r="F52" i="1"/>
  <c r="F54" i="1" s="1"/>
  <c r="F115" i="3" l="1"/>
  <c r="E119" i="3"/>
  <c r="E121" i="3" s="1"/>
  <c r="F84" i="3"/>
  <c r="E88" i="3"/>
  <c r="E90" i="3" s="1"/>
  <c r="F53" i="3"/>
  <c r="E57" i="3"/>
  <c r="E59" i="3" s="1"/>
  <c r="G22" i="3"/>
  <c r="F26" i="3"/>
  <c r="F28" i="3" s="1"/>
  <c r="L60" i="1"/>
  <c r="K64" i="1"/>
  <c r="K66" i="1" s="1"/>
  <c r="J66" i="1"/>
  <c r="K70" i="1"/>
  <c r="L70" i="1" s="1"/>
  <c r="G115" i="3" l="1"/>
  <c r="F119" i="3"/>
  <c r="F121" i="3" s="1"/>
  <c r="G84" i="3"/>
  <c r="F88" i="3"/>
  <c r="F90" i="3" s="1"/>
  <c r="G53" i="3"/>
  <c r="F57" i="3"/>
  <c r="F59" i="3" s="1"/>
  <c r="H22" i="3"/>
  <c r="G26" i="3"/>
  <c r="G28" i="3" s="1"/>
  <c r="M60" i="1"/>
  <c r="L64" i="1"/>
  <c r="G119" i="3" l="1"/>
  <c r="G121" i="3" s="1"/>
  <c r="H115" i="3"/>
  <c r="G88" i="3"/>
  <c r="G90" i="3" s="1"/>
  <c r="H84" i="3"/>
  <c r="H53" i="3"/>
  <c r="G57" i="3"/>
  <c r="G59" i="3" s="1"/>
  <c r="H26" i="3"/>
  <c r="H28" i="3" s="1"/>
  <c r="I22" i="3"/>
  <c r="L66" i="1"/>
  <c r="M64" i="1"/>
  <c r="M66" i="1" s="1"/>
  <c r="N60" i="1"/>
  <c r="M70" i="1"/>
  <c r="N70" i="1" s="1"/>
  <c r="H119" i="3" l="1"/>
  <c r="H121" i="3" s="1"/>
  <c r="I115" i="3"/>
  <c r="H88" i="3"/>
  <c r="H90" i="3" s="1"/>
  <c r="I84" i="3"/>
  <c r="H57" i="3"/>
  <c r="H59" i="3" s="1"/>
  <c r="I53" i="3"/>
  <c r="J22" i="3"/>
  <c r="I26" i="3"/>
  <c r="I28" i="3" s="1"/>
  <c r="N64" i="1"/>
  <c r="N66" i="1" s="1"/>
  <c r="O60" i="1"/>
  <c r="O64" i="1" s="1"/>
  <c r="O66" i="1" s="1"/>
  <c r="E67" i="1" s="1"/>
  <c r="E68" i="1"/>
  <c r="J115" i="3" l="1"/>
  <c r="I119" i="3"/>
  <c r="I121" i="3" s="1"/>
  <c r="J84" i="3"/>
  <c r="I88" i="3"/>
  <c r="I90" i="3" s="1"/>
  <c r="I57" i="3"/>
  <c r="I59" i="3" s="1"/>
  <c r="J53" i="3"/>
  <c r="K22" i="3"/>
  <c r="J26" i="3"/>
  <c r="J28" i="3" s="1"/>
  <c r="O70" i="1"/>
  <c r="K115" i="3" l="1"/>
  <c r="J119" i="3"/>
  <c r="J121" i="3" s="1"/>
  <c r="K84" i="3"/>
  <c r="J88" i="3"/>
  <c r="J90" i="3" s="1"/>
  <c r="K53" i="3"/>
  <c r="J57" i="3"/>
  <c r="J59" i="3" s="1"/>
  <c r="K26" i="3"/>
  <c r="K28" i="3" s="1"/>
  <c r="L22" i="3"/>
  <c r="K119" i="3" l="1"/>
  <c r="K121" i="3" s="1"/>
  <c r="L115" i="3"/>
  <c r="K88" i="3"/>
  <c r="K90" i="3" s="1"/>
  <c r="L84" i="3"/>
  <c r="K57" i="3"/>
  <c r="K59" i="3" s="1"/>
  <c r="L53" i="3"/>
  <c r="L26" i="3"/>
  <c r="L28" i="3" s="1"/>
  <c r="M22" i="3"/>
  <c r="M26" i="3" s="1"/>
  <c r="M28" i="3" s="1"/>
  <c r="C29" i="3" s="1"/>
  <c r="C31" i="3" s="1"/>
  <c r="L119" i="3" l="1"/>
  <c r="L121" i="3" s="1"/>
  <c r="M115" i="3"/>
  <c r="M119" i="3" s="1"/>
  <c r="M121" i="3" s="1"/>
  <c r="C122" i="3" s="1"/>
  <c r="C124" i="3" s="1"/>
  <c r="L88" i="3"/>
  <c r="L90" i="3" s="1"/>
  <c r="M84" i="3"/>
  <c r="M88" i="3" s="1"/>
  <c r="M90" i="3" s="1"/>
  <c r="C91" i="3" s="1"/>
  <c r="C93" i="3" s="1"/>
  <c r="L57" i="3"/>
  <c r="L59" i="3" s="1"/>
  <c r="M53" i="3"/>
  <c r="M57" i="3" s="1"/>
  <c r="M59" i="3" s="1"/>
  <c r="C60" i="3" s="1"/>
  <c r="C62" i="3" s="1"/>
</calcChain>
</file>

<file path=xl/sharedStrings.xml><?xml version="1.0" encoding="utf-8"?>
<sst xmlns="http://schemas.openxmlformats.org/spreadsheetml/2006/main" count="176" uniqueCount="86">
  <si>
    <t>Initial Cash outlay</t>
  </si>
  <si>
    <t>Building</t>
  </si>
  <si>
    <t>p</t>
  </si>
  <si>
    <t>Land</t>
  </si>
  <si>
    <t>Equipment upgrades</t>
  </si>
  <si>
    <t>Administrative and Material</t>
  </si>
  <si>
    <t>Item</t>
  </si>
  <si>
    <t>Cost ($)</t>
  </si>
  <si>
    <t>Total</t>
  </si>
  <si>
    <t>Tax rate</t>
  </si>
  <si>
    <t>WACC = KeWe +Kd(1-t)Wd</t>
  </si>
  <si>
    <t>Ke = 3% = 0.03</t>
  </si>
  <si>
    <t>Kd = 5% = 0.05</t>
  </si>
  <si>
    <t>We = 0.1</t>
  </si>
  <si>
    <t>Wd = 0.9</t>
  </si>
  <si>
    <t>WACC = 0.048</t>
  </si>
  <si>
    <t>0.048 = (0.03*0.1) + ((0.05(1-t)*0.9)</t>
  </si>
  <si>
    <t>0.048 = 0.003 + 0.045(1-t)</t>
  </si>
  <si>
    <t>0.048 = 0.003 + 0.045 - 0.045t</t>
  </si>
  <si>
    <t>0.045t = 0.003+0.045-0.048</t>
  </si>
  <si>
    <t>t = 0%</t>
  </si>
  <si>
    <t>Building depreciation</t>
  </si>
  <si>
    <t>Depreciation = (Cost-Salvage value)/no. of useful years</t>
  </si>
  <si>
    <t>Depreciation = (195,000-0)/10</t>
  </si>
  <si>
    <t>Depreciation = 19,500</t>
  </si>
  <si>
    <t>Equipment Salvage value</t>
  </si>
  <si>
    <t>= cost - Accumulated depreciation</t>
  </si>
  <si>
    <t>= 50,000 - (10*500)</t>
  </si>
  <si>
    <t>= 45,000</t>
  </si>
  <si>
    <t>Revenue</t>
  </si>
  <si>
    <t>Less:</t>
  </si>
  <si>
    <t>Supplies</t>
  </si>
  <si>
    <t>Gross Profit</t>
  </si>
  <si>
    <t>Less: Operating expenses</t>
  </si>
  <si>
    <t>Labour</t>
  </si>
  <si>
    <t>Utilities</t>
  </si>
  <si>
    <t>Depreciation</t>
  </si>
  <si>
    <t>Loan amount</t>
  </si>
  <si>
    <t>= 265,500</t>
  </si>
  <si>
    <t>= 0.9*295,000</t>
  </si>
  <si>
    <t>Interest @ 5%</t>
  </si>
  <si>
    <t>Net Profit before tax</t>
  </si>
  <si>
    <t>Tax @ 0%</t>
  </si>
  <si>
    <t>Net Profit after tax</t>
  </si>
  <si>
    <t>Year</t>
  </si>
  <si>
    <t>Initial C.O</t>
  </si>
  <si>
    <t>Net Profit</t>
  </si>
  <si>
    <t>Add back Depreciation</t>
  </si>
  <si>
    <t>Salvage value</t>
  </si>
  <si>
    <t>Total Cashflow</t>
  </si>
  <si>
    <t>PVIF</t>
  </si>
  <si>
    <t>PV</t>
  </si>
  <si>
    <t>Net PV</t>
  </si>
  <si>
    <t>IRR</t>
  </si>
  <si>
    <t>Cashflow, NPV and IRR Schedule</t>
  </si>
  <si>
    <t>Cumulative CF</t>
  </si>
  <si>
    <t>Year of full recovery</t>
  </si>
  <si>
    <t>Balance to recover in Y2</t>
  </si>
  <si>
    <t>Portion of Y2 to recover</t>
  </si>
  <si>
    <t>Pay back Period</t>
  </si>
  <si>
    <t>= 1 Year and 6 Months</t>
  </si>
  <si>
    <t>PV at 10%</t>
  </si>
  <si>
    <t>PV at 20%</t>
  </si>
  <si>
    <t>PV at 30%</t>
  </si>
  <si>
    <t>PV at 40%</t>
  </si>
  <si>
    <t>PV at 50%</t>
  </si>
  <si>
    <t>PV at 60%</t>
  </si>
  <si>
    <t>PV at 70%</t>
  </si>
  <si>
    <t>PV at 80%</t>
  </si>
  <si>
    <t>PV at 90%</t>
  </si>
  <si>
    <t>NPV Schedule</t>
  </si>
  <si>
    <t>NPV =</t>
  </si>
  <si>
    <t>Rate (%)</t>
  </si>
  <si>
    <t>NPV ($)</t>
  </si>
  <si>
    <t>Sensitivity analysis</t>
  </si>
  <si>
    <t>Increasing revenue by 10%</t>
  </si>
  <si>
    <t>New PV</t>
  </si>
  <si>
    <t>Original NPV</t>
  </si>
  <si>
    <t>%ge Change</t>
  </si>
  <si>
    <t>Increasing supplies by 10%</t>
  </si>
  <si>
    <t>Increasing cost of labour by 10%</t>
  </si>
  <si>
    <t>Increasing Utilities by 10%</t>
  </si>
  <si>
    <t xml:space="preserve">References </t>
  </si>
  <si>
    <t>https://www.shopkeep.com/blog/restaurant-startup-costs-breakdown#step-1</t>
  </si>
  <si>
    <t>https://www.restaurantsforsaleglobal.com/restaurants-for-sale/detail/930/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</si>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</sst>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00_-;\-* #,##0.0000_-;_-* &quot;-&quot;??_-;_-@_-"/>
  </numFmts>
  <fonts count="8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1"/>
      <color rgb="FF000000"/>
      <name val="Times New Roman"/>
      <family val="1"/>
    </font>
    <font>
      <sz val="12"/>
      <color theme="1"/>
      <name val="Segoe UI Emoji"/>
      <family val="2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0"/>
      <name val="Times New Roman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left" vertical="center"/>
    </xf>
    <xf numFmtId="0" fontId="5" fillId="0" borderId="0" xfId="0" applyFont="1"/>
    <xf numFmtId="0" fontId="4" fillId="0" borderId="1" xfId="0" applyFont="1" applyBorder="1" applyAlignment="1">
      <alignment horizontal="left" vertical="center" indent="4"/>
    </xf>
    <xf numFmtId="0" fontId="0" fillId="0" borderId="2" xfId="0" applyBorder="1"/>
    <xf numFmtId="164" fontId="0" fillId="0" borderId="0" xfId="1" applyNumberFormat="1" applyFont="1"/>
    <xf numFmtId="164" fontId="5" fillId="0" borderId="1" xfId="1" applyNumberFormat="1" applyFont="1" applyBorder="1"/>
    <xf numFmtId="164" fontId="0" fillId="0" borderId="2" xfId="1" applyNumberFormat="1" applyFont="1" applyBorder="1"/>
    <xf numFmtId="0" fontId="0" fillId="0" borderId="0" xfId="0" quotePrefix="1"/>
    <xf numFmtId="164" fontId="0" fillId="0" borderId="3" xfId="1" applyNumberFormat="1" applyFont="1" applyBorder="1"/>
    <xf numFmtId="1" fontId="0" fillId="0" borderId="0" xfId="1" applyNumberFormat="1" applyFont="1"/>
    <xf numFmtId="164" fontId="3" fillId="0" borderId="0" xfId="1" applyNumberFormat="1" applyFont="1"/>
    <xf numFmtId="165" fontId="0" fillId="0" borderId="0" xfId="1" applyNumberFormat="1" applyFont="1"/>
    <xf numFmtId="164" fontId="6" fillId="0" borderId="0" xfId="1" applyNumberFormat="1" applyFont="1"/>
    <xf numFmtId="164" fontId="5" fillId="0" borderId="0" xfId="1" quotePrefix="1" applyNumberFormat="1" applyFont="1"/>
    <xf numFmtId="164" fontId="0" fillId="0" borderId="0" xfId="1" applyNumberFormat="1" applyFont="1" applyAlignment="1">
      <alignment horizontal="right"/>
    </xf>
    <xf numFmtId="164" fontId="5" fillId="0" borderId="2" xfId="1" applyNumberFormat="1" applyFont="1" applyBorder="1" applyAlignment="1">
      <alignment horizontal="right"/>
    </xf>
    <xf numFmtId="164" fontId="5" fillId="0" borderId="2" xfId="1" applyNumberFormat="1" applyFont="1" applyBorder="1"/>
    <xf numFmtId="0" fontId="6" fillId="0" borderId="0" xfId="0" applyFont="1"/>
    <xf numFmtId="9" fontId="6" fillId="0" borderId="0" xfId="2" applyFont="1"/>
    <xf numFmtId="0" fontId="5" fillId="0" borderId="4" xfId="0" applyFont="1" applyBorder="1"/>
    <xf numFmtId="164" fontId="5" fillId="0" borderId="5" xfId="1" applyNumberFormat="1" applyFont="1" applyBorder="1"/>
    <xf numFmtId="0" fontId="5" fillId="0" borderId="6" xfId="0" applyFont="1" applyBorder="1"/>
    <xf numFmtId="9" fontId="5" fillId="0" borderId="7" xfId="2" applyFont="1" applyBorder="1"/>
    <xf numFmtId="164" fontId="0" fillId="0" borderId="0" xfId="1" applyNumberFormat="1" applyFont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3" applyAlignment="1">
      <alignment vertic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u="sng"/>
              <a:t> NPV Profile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'NPV Profile'!$D$18</c:f>
              <c:strCache>
                <c:ptCount val="1"/>
                <c:pt idx="0">
                  <c:v> NPV ($)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'NPV Profile'!$C$19:$C$27</c:f>
              <c:numCache>
                <c:formatCode>_-* #,##0_-;\-* #,##0_-;_-* "-"??_-;_-@_-</c:formatCode>
                <c:ptCount val="9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</c:numCache>
            </c:numRef>
          </c:cat>
          <c:val>
            <c:numRef>
              <c:f>'NPV Profile'!$D$19:$D$27</c:f>
              <c:numCache>
                <c:formatCode>_-* #,##0_-;\-* #,##0_-;_-* "-"??_-;_-@_-</c:formatCode>
                <c:ptCount val="9"/>
                <c:pt idx="0">
                  <c:v>1069067.0353185786</c:v>
                </c:pt>
                <c:pt idx="1">
                  <c:v>622000.85575735755</c:v>
                </c:pt>
                <c:pt idx="2">
                  <c:v>374913.62182231533</c:v>
                </c:pt>
                <c:pt idx="3">
                  <c:v>225024.90857703445</c:v>
                </c:pt>
                <c:pt idx="4">
                  <c:v>126985.40618808106</c:v>
                </c:pt>
                <c:pt idx="5">
                  <c:v>58866.153577458972</c:v>
                </c:pt>
                <c:pt idx="6">
                  <c:v>9192.2806113969436</c:v>
                </c:pt>
                <c:pt idx="7">
                  <c:v>-28463.186943760244</c:v>
                </c:pt>
                <c:pt idx="8">
                  <c:v>-57916.773601361587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19-4895-9CA8-C70260ECC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552447"/>
        <c:axId val="449122319"/>
      </c:lineChart>
      <c:catAx>
        <c:axId val="45255244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Rate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449122319"/>
        <c:crosses val="autoZero"/>
        <c:auto val="1"/>
        <c:lblAlgn val="ctr"/>
        <c:lblOffset val="100"/>
        <c:noMultiLvlLbl val="0"/>
      </c:catAx>
      <c:valAx>
        <c:axId val="449122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NPV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4525524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862012</xdr:colOff>
      <xdr:row>17</xdr:row>
      <xdr:rowOff>33337</xdr:rowOff>
    </xdr:from>
    <xdr:to>
      <xdr:col>10</xdr:col>
      <xdr:colOff>233362</xdr:colOff>
      <xdr:row>30</xdr:row>
      <xdr:rowOff>176212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E1AD2D-9EF7-42F7-A164-21D4C62E23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restaurantsforsaleglobal.com/restaurants-for-sale/detail/930/" TargetMode="External"/><Relationship Id="rId1" Type="http://schemas.openxmlformats.org/officeDocument/2006/relationships/hyperlink" Target="https://www.shopkeep.com/blog/restaurant-startup-costs-break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ECB3C-3BF0-4EC5-B59C-8F0254E0C396}">
  <dimension ref="B3:O75"/>
  <sheetViews>
    <sheetView topLeftCell="A61" workbookViewId="0">
      <selection activeCell="H76" sqref="H76"/>
    </sheetView>
  </sheetViews>
  <sheetFormatPr defaultRowHeight="15.75" x14ac:dyDescent="0.25"/>
  <cols>
    <col min="2" max="2" width="1.875" bestFit="1" customWidth="1"/>
    <col min="3" max="3" width="14.375" bestFit="1" customWidth="1"/>
    <col min="4" max="4" width="22" bestFit="1" customWidth="1"/>
    <col min="5" max="5" width="10.875" style="5" customWidth="1"/>
    <col min="6" max="6" width="11.375" style="5" bestFit="1" customWidth="1"/>
    <col min="7" max="10" width="8.875" style="5" bestFit="1" customWidth="1"/>
    <col min="11" max="15" width="10.375" style="5" bestFit="1" customWidth="1"/>
  </cols>
  <sheetData>
    <row r="3" spans="2:9" x14ac:dyDescent="0.25">
      <c r="B3">
        <v>1</v>
      </c>
      <c r="C3" t="s">
        <v>0</v>
      </c>
    </row>
    <row r="4" spans="2:9" ht="16.5" thickBot="1" x14ac:dyDescent="0.3">
      <c r="D4" s="3" t="s">
        <v>6</v>
      </c>
      <c r="E4" s="6" t="s">
        <v>7</v>
      </c>
    </row>
    <row r="5" spans="2:9" x14ac:dyDescent="0.25">
      <c r="D5" s="1" t="s">
        <v>1</v>
      </c>
      <c r="E5" s="5">
        <v>195000</v>
      </c>
    </row>
    <row r="6" spans="2:9" ht="17.25" x14ac:dyDescent="0.3">
      <c r="D6" t="s">
        <v>3</v>
      </c>
      <c r="E6" s="5">
        <v>45000</v>
      </c>
      <c r="I6" s="11" t="s">
        <v>2</v>
      </c>
    </row>
    <row r="7" spans="2:9" x14ac:dyDescent="0.25">
      <c r="D7" t="s">
        <v>4</v>
      </c>
      <c r="E7" s="5">
        <v>50000</v>
      </c>
    </row>
    <row r="8" spans="2:9" x14ac:dyDescent="0.25">
      <c r="D8" t="s">
        <v>5</v>
      </c>
      <c r="E8" s="5">
        <v>5000</v>
      </c>
    </row>
    <row r="10" spans="2:9" ht="16.5" thickBot="1" x14ac:dyDescent="0.3">
      <c r="D10" s="4" t="s">
        <v>8</v>
      </c>
      <c r="E10" s="7">
        <f>SUM(E5:E9)</f>
        <v>295000</v>
      </c>
    </row>
    <row r="11" spans="2:9" ht="16.5" thickTop="1" x14ac:dyDescent="0.25"/>
    <row r="13" spans="2:9" x14ac:dyDescent="0.25">
      <c r="B13">
        <v>2</v>
      </c>
      <c r="C13" t="s">
        <v>9</v>
      </c>
    </row>
    <row r="14" spans="2:9" x14ac:dyDescent="0.25">
      <c r="D14" t="s">
        <v>10</v>
      </c>
    </row>
    <row r="15" spans="2:9" x14ac:dyDescent="0.25">
      <c r="D15" t="s">
        <v>15</v>
      </c>
    </row>
    <row r="16" spans="2:9" x14ac:dyDescent="0.25">
      <c r="D16" t="s">
        <v>11</v>
      </c>
    </row>
    <row r="17" spans="2:4" x14ac:dyDescent="0.25">
      <c r="D17" t="s">
        <v>12</v>
      </c>
    </row>
    <row r="18" spans="2:4" x14ac:dyDescent="0.25">
      <c r="D18" t="s">
        <v>13</v>
      </c>
    </row>
    <row r="19" spans="2:4" x14ac:dyDescent="0.25">
      <c r="D19" t="s">
        <v>14</v>
      </c>
    </row>
    <row r="21" spans="2:4" x14ac:dyDescent="0.25">
      <c r="D21" t="s">
        <v>16</v>
      </c>
    </row>
    <row r="22" spans="2:4" x14ac:dyDescent="0.25">
      <c r="D22" t="s">
        <v>17</v>
      </c>
    </row>
    <row r="23" spans="2:4" x14ac:dyDescent="0.25">
      <c r="D23" t="s">
        <v>18</v>
      </c>
    </row>
    <row r="24" spans="2:4" x14ac:dyDescent="0.25">
      <c r="D24" t="s">
        <v>19</v>
      </c>
    </row>
    <row r="25" spans="2:4" x14ac:dyDescent="0.25">
      <c r="D25" t="s">
        <v>20</v>
      </c>
    </row>
    <row r="27" spans="2:4" x14ac:dyDescent="0.25">
      <c r="B27">
        <v>3</v>
      </c>
      <c r="C27" t="s">
        <v>21</v>
      </c>
    </row>
    <row r="28" spans="2:4" x14ac:dyDescent="0.25">
      <c r="D28" t="s">
        <v>22</v>
      </c>
    </row>
    <row r="29" spans="2:4" x14ac:dyDescent="0.25">
      <c r="D29" t="s">
        <v>23</v>
      </c>
    </row>
    <row r="30" spans="2:4" x14ac:dyDescent="0.25">
      <c r="D30" t="s">
        <v>24</v>
      </c>
    </row>
    <row r="32" spans="2:4" x14ac:dyDescent="0.25">
      <c r="B32">
        <v>4</v>
      </c>
      <c r="C32" t="s">
        <v>37</v>
      </c>
    </row>
    <row r="33" spans="2:6" x14ac:dyDescent="0.25">
      <c r="D33" s="8" t="s">
        <v>39</v>
      </c>
    </row>
    <row r="34" spans="2:6" x14ac:dyDescent="0.25">
      <c r="D34" s="8" t="s">
        <v>38</v>
      </c>
    </row>
    <row r="36" spans="2:6" x14ac:dyDescent="0.25">
      <c r="B36">
        <v>5</v>
      </c>
      <c r="C36" t="s">
        <v>25</v>
      </c>
    </row>
    <row r="37" spans="2:6" x14ac:dyDescent="0.25">
      <c r="D37" s="8" t="s">
        <v>26</v>
      </c>
    </row>
    <row r="38" spans="2:6" x14ac:dyDescent="0.25">
      <c r="D38" s="8" t="s">
        <v>27</v>
      </c>
    </row>
    <row r="39" spans="2:6" x14ac:dyDescent="0.25">
      <c r="D39" s="8" t="s">
        <v>28</v>
      </c>
    </row>
    <row r="43" spans="2:6" x14ac:dyDescent="0.25">
      <c r="D43" t="s">
        <v>29</v>
      </c>
      <c r="F43" s="5">
        <f>12*32000</f>
        <v>384000</v>
      </c>
    </row>
    <row r="44" spans="2:6" x14ac:dyDescent="0.25">
      <c r="D44" t="s">
        <v>30</v>
      </c>
    </row>
    <row r="45" spans="2:6" x14ac:dyDescent="0.25">
      <c r="D45" t="s">
        <v>31</v>
      </c>
      <c r="F45" s="9">
        <f>12*5000</f>
        <v>60000</v>
      </c>
    </row>
    <row r="46" spans="2:6" x14ac:dyDescent="0.25">
      <c r="D46" t="s">
        <v>32</v>
      </c>
      <c r="F46" s="5">
        <f>F43-F45</f>
        <v>324000</v>
      </c>
    </row>
    <row r="47" spans="2:6" x14ac:dyDescent="0.25">
      <c r="D47" t="s">
        <v>33</v>
      </c>
    </row>
    <row r="48" spans="2:6" x14ac:dyDescent="0.25">
      <c r="D48" t="s">
        <v>34</v>
      </c>
      <c r="E48" s="5">
        <f>7000*12</f>
        <v>84000</v>
      </c>
    </row>
    <row r="49" spans="4:15" x14ac:dyDescent="0.25">
      <c r="D49" t="s">
        <v>36</v>
      </c>
      <c r="E49" s="5">
        <f>19500+500</f>
        <v>20000</v>
      </c>
    </row>
    <row r="50" spans="4:15" x14ac:dyDescent="0.25">
      <c r="D50" t="s">
        <v>40</v>
      </c>
      <c r="E50" s="5">
        <f>0.05*265500</f>
        <v>13275</v>
      </c>
    </row>
    <row r="51" spans="4:15" x14ac:dyDescent="0.25">
      <c r="D51" t="s">
        <v>35</v>
      </c>
      <c r="E51" s="9">
        <f>1100*12</f>
        <v>13200</v>
      </c>
      <c r="F51" s="9">
        <f>SUM(E48:E51)</f>
        <v>130475</v>
      </c>
    </row>
    <row r="52" spans="4:15" x14ac:dyDescent="0.25">
      <c r="D52" t="s">
        <v>41</v>
      </c>
      <c r="F52" s="5">
        <f>F46-F51</f>
        <v>193525</v>
      </c>
    </row>
    <row r="53" spans="4:15" x14ac:dyDescent="0.25">
      <c r="D53" t="s">
        <v>42</v>
      </c>
      <c r="F53" s="5">
        <v>0</v>
      </c>
    </row>
    <row r="54" spans="4:15" ht="16.5" thickBot="1" x14ac:dyDescent="0.3">
      <c r="D54" s="4" t="s">
        <v>43</v>
      </c>
      <c r="E54" s="7"/>
      <c r="F54" s="7">
        <f>F52-F53</f>
        <v>193525</v>
      </c>
    </row>
    <row r="55" spans="4:15" ht="16.5" thickTop="1" x14ac:dyDescent="0.25"/>
    <row r="57" spans="4:15" x14ac:dyDescent="0.25">
      <c r="D57" s="24" t="s">
        <v>54</v>
      </c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</row>
    <row r="58" spans="4:15" x14ac:dyDescent="0.25">
      <c r="E58" s="10">
        <v>0</v>
      </c>
      <c r="F58" s="5">
        <v>1</v>
      </c>
      <c r="G58" s="5">
        <v>2</v>
      </c>
      <c r="H58" s="5">
        <v>3</v>
      </c>
      <c r="I58" s="5">
        <v>4</v>
      </c>
      <c r="J58" s="5">
        <v>5</v>
      </c>
      <c r="K58" s="5">
        <v>6</v>
      </c>
      <c r="L58" s="5">
        <v>7</v>
      </c>
      <c r="M58" s="5">
        <v>8</v>
      </c>
      <c r="N58" s="5">
        <v>9</v>
      </c>
      <c r="O58" s="5">
        <v>10</v>
      </c>
    </row>
    <row r="59" spans="4:15" x14ac:dyDescent="0.25">
      <c r="D59" t="s">
        <v>45</v>
      </c>
      <c r="E59" s="5">
        <v>-295000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</row>
    <row r="60" spans="4:15" x14ac:dyDescent="0.25">
      <c r="D60" t="s">
        <v>46</v>
      </c>
      <c r="E60" s="5">
        <v>0</v>
      </c>
      <c r="F60" s="5">
        <f>F54</f>
        <v>193525</v>
      </c>
      <c r="G60" s="5">
        <f>F60</f>
        <v>193525</v>
      </c>
      <c r="H60" s="5">
        <f t="shared" ref="H60:O60" si="0">G60</f>
        <v>193525</v>
      </c>
      <c r="I60" s="5">
        <f t="shared" si="0"/>
        <v>193525</v>
      </c>
      <c r="J60" s="5">
        <f t="shared" si="0"/>
        <v>193525</v>
      </c>
      <c r="K60" s="5">
        <f t="shared" si="0"/>
        <v>193525</v>
      </c>
      <c r="L60" s="5">
        <f t="shared" si="0"/>
        <v>193525</v>
      </c>
      <c r="M60" s="5">
        <f t="shared" si="0"/>
        <v>193525</v>
      </c>
      <c r="N60" s="5">
        <f t="shared" si="0"/>
        <v>193525</v>
      </c>
      <c r="O60" s="5">
        <f t="shared" si="0"/>
        <v>193525</v>
      </c>
    </row>
    <row r="61" spans="4:15" x14ac:dyDescent="0.25">
      <c r="D61" t="s">
        <v>47</v>
      </c>
      <c r="E61" s="5">
        <v>0</v>
      </c>
      <c r="F61" s="5">
        <v>20000</v>
      </c>
      <c r="G61" s="5">
        <v>20000</v>
      </c>
      <c r="H61" s="5">
        <v>20000</v>
      </c>
      <c r="I61" s="5">
        <v>20000</v>
      </c>
      <c r="J61" s="5">
        <v>20000</v>
      </c>
      <c r="K61" s="5">
        <v>20000</v>
      </c>
      <c r="L61" s="5">
        <v>20000</v>
      </c>
      <c r="M61" s="5">
        <v>20000</v>
      </c>
      <c r="N61" s="5">
        <v>20000</v>
      </c>
      <c r="O61" s="5">
        <v>20000</v>
      </c>
    </row>
    <row r="62" spans="4:15" x14ac:dyDescent="0.25">
      <c r="D62" t="s">
        <v>48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135000</v>
      </c>
    </row>
    <row r="64" spans="4:15" x14ac:dyDescent="0.25">
      <c r="D64" t="s">
        <v>49</v>
      </c>
      <c r="E64" s="5">
        <f t="shared" ref="E64:O64" si="1">SUM(E59:E63)</f>
        <v>-295000</v>
      </c>
      <c r="F64" s="5">
        <f t="shared" si="1"/>
        <v>213525</v>
      </c>
      <c r="G64" s="5">
        <f t="shared" si="1"/>
        <v>213525</v>
      </c>
      <c r="H64" s="5">
        <f t="shared" si="1"/>
        <v>213525</v>
      </c>
      <c r="I64" s="5">
        <f t="shared" si="1"/>
        <v>213525</v>
      </c>
      <c r="J64" s="5">
        <f t="shared" si="1"/>
        <v>213525</v>
      </c>
      <c r="K64" s="5">
        <f t="shared" si="1"/>
        <v>213525</v>
      </c>
      <c r="L64" s="5">
        <f t="shared" si="1"/>
        <v>213525</v>
      </c>
      <c r="M64" s="5">
        <f t="shared" si="1"/>
        <v>213525</v>
      </c>
      <c r="N64" s="5">
        <f t="shared" si="1"/>
        <v>213525</v>
      </c>
      <c r="O64" s="5">
        <f t="shared" si="1"/>
        <v>348525</v>
      </c>
    </row>
    <row r="65" spans="4:15" x14ac:dyDescent="0.25">
      <c r="D65" t="s">
        <v>50</v>
      </c>
      <c r="E65" s="12">
        <f>1.0724^-E58</f>
        <v>1</v>
      </c>
      <c r="F65" s="12">
        <f t="shared" ref="F65:O65" si="2">1.048^-F58</f>
        <v>0.95419847328244267</v>
      </c>
      <c r="G65" s="12">
        <f t="shared" si="2"/>
        <v>0.91049472641454443</v>
      </c>
      <c r="H65" s="12">
        <f t="shared" si="2"/>
        <v>0.86879267787647374</v>
      </c>
      <c r="I65" s="12">
        <f t="shared" si="2"/>
        <v>0.82900064682869612</v>
      </c>
      <c r="J65" s="12">
        <f t="shared" si="2"/>
        <v>0.79103115155409931</v>
      </c>
      <c r="K65" s="12">
        <f t="shared" si="2"/>
        <v>0.7548007171317741</v>
      </c>
      <c r="L65" s="12">
        <f t="shared" si="2"/>
        <v>0.72022969191963182</v>
      </c>
      <c r="M65" s="12">
        <f t="shared" si="2"/>
        <v>0.68724207244239655</v>
      </c>
      <c r="N65" s="12">
        <f t="shared" si="2"/>
        <v>0.65576533629999678</v>
      </c>
      <c r="O65" s="12">
        <f t="shared" si="2"/>
        <v>0.62573028272900444</v>
      </c>
    </row>
    <row r="66" spans="4:15" ht="16.5" thickBot="1" x14ac:dyDescent="0.3">
      <c r="D66" t="s">
        <v>51</v>
      </c>
      <c r="E66" s="5">
        <f>E64*E65</f>
        <v>-295000</v>
      </c>
      <c r="F66" s="5">
        <f t="shared" ref="F66:O66" si="3">F64*F65</f>
        <v>203745.22900763358</v>
      </c>
      <c r="G66" s="5">
        <f t="shared" si="3"/>
        <v>194413.38645766559</v>
      </c>
      <c r="H66" s="5">
        <f t="shared" si="3"/>
        <v>185508.95654357405</v>
      </c>
      <c r="I66" s="5">
        <f t="shared" si="3"/>
        <v>177012.36311409733</v>
      </c>
      <c r="J66" s="5">
        <f t="shared" si="3"/>
        <v>168904.92663558904</v>
      </c>
      <c r="K66" s="5">
        <f t="shared" si="3"/>
        <v>161168.82312556208</v>
      </c>
      <c r="L66" s="5">
        <f t="shared" si="3"/>
        <v>153787.04496713937</v>
      </c>
      <c r="M66" s="5">
        <f t="shared" si="3"/>
        <v>146743.36351826272</v>
      </c>
      <c r="N66" s="5">
        <f t="shared" si="3"/>
        <v>140022.29343345683</v>
      </c>
      <c r="O66" s="5">
        <f t="shared" si="3"/>
        <v>218082.64678812627</v>
      </c>
    </row>
    <row r="67" spans="4:15" x14ac:dyDescent="0.25">
      <c r="D67" s="20" t="s">
        <v>52</v>
      </c>
      <c r="E67" s="21">
        <f>SUM(E66:O66)</f>
        <v>1454389.033591107</v>
      </c>
    </row>
    <row r="68" spans="4:15" ht="16.5" thickBot="1" x14ac:dyDescent="0.3">
      <c r="D68" s="22" t="s">
        <v>53</v>
      </c>
      <c r="E68" s="23">
        <f>IRR(E64:O64)</f>
        <v>0.72209876758808855</v>
      </c>
    </row>
    <row r="70" spans="4:15" x14ac:dyDescent="0.25">
      <c r="D70" t="s">
        <v>55</v>
      </c>
      <c r="F70" s="5">
        <v>193525</v>
      </c>
      <c r="G70" s="13">
        <f>F70+G60</f>
        <v>387050</v>
      </c>
      <c r="H70" s="5">
        <f t="shared" ref="H70:O70" si="4">G70+H60</f>
        <v>580575</v>
      </c>
      <c r="I70" s="5">
        <f t="shared" si="4"/>
        <v>774100</v>
      </c>
      <c r="J70" s="5">
        <f t="shared" si="4"/>
        <v>967625</v>
      </c>
      <c r="K70" s="5">
        <f t="shared" si="4"/>
        <v>1161150</v>
      </c>
      <c r="L70" s="5">
        <f t="shared" si="4"/>
        <v>1354675</v>
      </c>
      <c r="M70" s="5">
        <f t="shared" si="4"/>
        <v>1548200</v>
      </c>
      <c r="N70" s="5">
        <f t="shared" si="4"/>
        <v>1741725</v>
      </c>
      <c r="O70" s="5">
        <f t="shared" si="4"/>
        <v>1935250</v>
      </c>
    </row>
    <row r="72" spans="4:15" x14ac:dyDescent="0.25">
      <c r="D72" t="s">
        <v>56</v>
      </c>
      <c r="E72" s="5">
        <v>2</v>
      </c>
    </row>
    <row r="73" spans="4:15" x14ac:dyDescent="0.25">
      <c r="D73" t="s">
        <v>57</v>
      </c>
      <c r="E73" s="5">
        <f>295000-F70</f>
        <v>101475</v>
      </c>
    </row>
    <row r="74" spans="4:15" x14ac:dyDescent="0.25">
      <c r="D74" t="s">
        <v>58</v>
      </c>
      <c r="E74" s="5">
        <f>E73/G60*12</f>
        <v>6.2922103087456396</v>
      </c>
    </row>
    <row r="75" spans="4:15" x14ac:dyDescent="0.25">
      <c r="D75" t="s">
        <v>59</v>
      </c>
      <c r="E75" s="14" t="s">
        <v>60</v>
      </c>
    </row>
  </sheetData>
  <mergeCells count="1">
    <mergeCell ref="D57:O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9C8C1-76BB-4A71-AA21-13BDAD6F953E}">
  <dimension ref="A2:M124"/>
  <sheetViews>
    <sheetView topLeftCell="A109" workbookViewId="0">
      <selection activeCell="H128" sqref="H128"/>
    </sheetView>
  </sheetViews>
  <sheetFormatPr defaultRowHeight="15.75" x14ac:dyDescent="0.25"/>
  <cols>
    <col min="2" max="2" width="20.375" bestFit="1" customWidth="1"/>
    <col min="3" max="3" width="10.375" bestFit="1" customWidth="1"/>
  </cols>
  <sheetData>
    <row r="2" spans="1:13" x14ac:dyDescent="0.25">
      <c r="B2" t="s">
        <v>74</v>
      </c>
    </row>
    <row r="3" spans="1:13" x14ac:dyDescent="0.25">
      <c r="A3">
        <v>1</v>
      </c>
      <c r="B3" s="26" t="s">
        <v>75</v>
      </c>
      <c r="C3" s="26"/>
      <c r="D3" s="26"/>
    </row>
    <row r="5" spans="1:13" x14ac:dyDescent="0.25">
      <c r="B5" t="s">
        <v>29</v>
      </c>
      <c r="C5" s="5"/>
      <c r="D5" s="5">
        <f>1.1*384000</f>
        <v>422400.00000000006</v>
      </c>
      <c r="E5" s="5"/>
      <c r="F5" s="5"/>
      <c r="G5" s="5"/>
      <c r="H5" s="5"/>
      <c r="I5" s="5"/>
      <c r="J5" s="5"/>
      <c r="K5" s="5"/>
      <c r="L5" s="5"/>
      <c r="M5" s="5"/>
    </row>
    <row r="6" spans="1:13" x14ac:dyDescent="0.25">
      <c r="B6" t="s">
        <v>30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B7" t="s">
        <v>31</v>
      </c>
      <c r="C7" s="5"/>
      <c r="D7" s="9">
        <f>12*5000</f>
        <v>60000</v>
      </c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B8" t="s">
        <v>32</v>
      </c>
      <c r="C8" s="5"/>
      <c r="D8" s="5">
        <f>D5-D7</f>
        <v>362400.00000000006</v>
      </c>
      <c r="E8" s="5"/>
      <c r="F8" s="5"/>
      <c r="G8" s="5"/>
      <c r="H8" s="5"/>
      <c r="I8" s="5"/>
      <c r="J8" s="5"/>
      <c r="K8" s="5"/>
      <c r="L8" s="5"/>
      <c r="M8" s="5"/>
    </row>
    <row r="9" spans="1:13" x14ac:dyDescent="0.25">
      <c r="B9" t="s">
        <v>33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5">
      <c r="B10" t="s">
        <v>34</v>
      </c>
      <c r="C10" s="5">
        <f>7000*12</f>
        <v>84000</v>
      </c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B11" t="s">
        <v>36</v>
      </c>
      <c r="C11" s="5">
        <f>19500+500</f>
        <v>20000</v>
      </c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B12" t="s">
        <v>40</v>
      </c>
      <c r="C12" s="5">
        <f>0.05*265500</f>
        <v>13275</v>
      </c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B13" t="s">
        <v>35</v>
      </c>
      <c r="C13" s="9">
        <f>1100*12</f>
        <v>13200</v>
      </c>
      <c r="D13" s="9">
        <f>SUM(C10:C13)</f>
        <v>130475</v>
      </c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B14" t="s">
        <v>41</v>
      </c>
      <c r="C14" s="5"/>
      <c r="D14" s="5">
        <f>D8-D13</f>
        <v>231925.00000000006</v>
      </c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B15" t="s">
        <v>42</v>
      </c>
      <c r="C15" s="5"/>
      <c r="D15" s="5">
        <v>0</v>
      </c>
      <c r="E15" s="5"/>
      <c r="F15" s="5"/>
      <c r="G15" s="5"/>
      <c r="H15" s="5"/>
      <c r="I15" s="5"/>
      <c r="J15" s="5"/>
      <c r="K15" s="5"/>
      <c r="L15" s="5"/>
      <c r="M15" s="5"/>
    </row>
    <row r="16" spans="1:13" ht="16.5" thickBot="1" x14ac:dyDescent="0.3">
      <c r="B16" s="4" t="s">
        <v>43</v>
      </c>
      <c r="C16" s="7"/>
      <c r="D16" s="7">
        <f>D14-D15</f>
        <v>231925.00000000006</v>
      </c>
      <c r="E16" s="5"/>
      <c r="F16" s="5"/>
      <c r="G16" s="5"/>
      <c r="H16" s="5"/>
      <c r="I16" s="5"/>
      <c r="J16" s="5"/>
      <c r="K16" s="5"/>
      <c r="L16" s="5"/>
      <c r="M16" s="5"/>
    </row>
    <row r="17" spans="2:13" ht="16.5" thickTop="1" x14ac:dyDescent="0.25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 x14ac:dyDescent="0.25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x14ac:dyDescent="0.25">
      <c r="B19" s="24" t="s">
        <v>54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2:13" x14ac:dyDescent="0.25">
      <c r="C20" s="10">
        <v>0</v>
      </c>
      <c r="D20" s="5">
        <v>1</v>
      </c>
      <c r="E20" s="5">
        <v>2</v>
      </c>
      <c r="F20" s="5">
        <v>3</v>
      </c>
      <c r="G20" s="5">
        <v>4</v>
      </c>
      <c r="H20" s="5">
        <v>5</v>
      </c>
      <c r="I20" s="5">
        <v>6</v>
      </c>
      <c r="J20" s="5">
        <v>7</v>
      </c>
      <c r="K20" s="5">
        <v>8</v>
      </c>
      <c r="L20" s="5">
        <v>9</v>
      </c>
      <c r="M20" s="5">
        <v>10</v>
      </c>
    </row>
    <row r="21" spans="2:13" x14ac:dyDescent="0.25">
      <c r="B21" t="s">
        <v>45</v>
      </c>
      <c r="C21" s="5">
        <v>-295000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</row>
    <row r="22" spans="2:13" x14ac:dyDescent="0.25">
      <c r="B22" t="s">
        <v>46</v>
      </c>
      <c r="C22" s="5">
        <v>0</v>
      </c>
      <c r="D22" s="5">
        <f>D16</f>
        <v>231925.00000000006</v>
      </c>
      <c r="E22" s="5">
        <f>D22</f>
        <v>231925.00000000006</v>
      </c>
      <c r="F22" s="5">
        <f t="shared" ref="F22:M22" si="0">E22</f>
        <v>231925.00000000006</v>
      </c>
      <c r="G22" s="5">
        <f t="shared" si="0"/>
        <v>231925.00000000006</v>
      </c>
      <c r="H22" s="5">
        <f t="shared" si="0"/>
        <v>231925.00000000006</v>
      </c>
      <c r="I22" s="5">
        <f t="shared" si="0"/>
        <v>231925.00000000006</v>
      </c>
      <c r="J22" s="5">
        <f t="shared" si="0"/>
        <v>231925.00000000006</v>
      </c>
      <c r="K22" s="5">
        <f t="shared" si="0"/>
        <v>231925.00000000006</v>
      </c>
      <c r="L22" s="5">
        <f t="shared" si="0"/>
        <v>231925.00000000006</v>
      </c>
      <c r="M22" s="5">
        <f t="shared" si="0"/>
        <v>231925.00000000006</v>
      </c>
    </row>
    <row r="23" spans="2:13" x14ac:dyDescent="0.25">
      <c r="B23" t="s">
        <v>47</v>
      </c>
      <c r="C23" s="5">
        <v>0</v>
      </c>
      <c r="D23" s="5">
        <v>20000</v>
      </c>
      <c r="E23" s="5">
        <v>20000</v>
      </c>
      <c r="F23" s="5">
        <v>20000</v>
      </c>
      <c r="G23" s="5">
        <v>20000</v>
      </c>
      <c r="H23" s="5">
        <v>20000</v>
      </c>
      <c r="I23" s="5">
        <v>20000</v>
      </c>
      <c r="J23" s="5">
        <v>20000</v>
      </c>
      <c r="K23" s="5">
        <v>20000</v>
      </c>
      <c r="L23" s="5">
        <v>20000</v>
      </c>
      <c r="M23" s="5">
        <v>20000</v>
      </c>
    </row>
    <row r="24" spans="2:13" x14ac:dyDescent="0.25">
      <c r="B24" t="s">
        <v>48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135000</v>
      </c>
    </row>
    <row r="25" spans="2:13" x14ac:dyDescent="0.25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2:13" x14ac:dyDescent="0.25">
      <c r="B26" t="s">
        <v>49</v>
      </c>
      <c r="C26" s="5">
        <f t="shared" ref="C26:M26" si="1">SUM(C21:C25)</f>
        <v>-295000</v>
      </c>
      <c r="D26" s="5">
        <f t="shared" si="1"/>
        <v>251925.00000000006</v>
      </c>
      <c r="E26" s="5">
        <f t="shared" si="1"/>
        <v>251925.00000000006</v>
      </c>
      <c r="F26" s="5">
        <f t="shared" si="1"/>
        <v>251925.00000000006</v>
      </c>
      <c r="G26" s="5">
        <f t="shared" si="1"/>
        <v>251925.00000000006</v>
      </c>
      <c r="H26" s="5">
        <f t="shared" si="1"/>
        <v>251925.00000000006</v>
      </c>
      <c r="I26" s="5">
        <f t="shared" si="1"/>
        <v>251925.00000000006</v>
      </c>
      <c r="J26" s="5">
        <f t="shared" si="1"/>
        <v>251925.00000000006</v>
      </c>
      <c r="K26" s="5">
        <f t="shared" si="1"/>
        <v>251925.00000000006</v>
      </c>
      <c r="L26" s="5">
        <f t="shared" si="1"/>
        <v>251925.00000000006</v>
      </c>
      <c r="M26" s="5">
        <f t="shared" si="1"/>
        <v>386925.00000000006</v>
      </c>
    </row>
    <row r="27" spans="2:13" x14ac:dyDescent="0.25">
      <c r="B27" t="s">
        <v>50</v>
      </c>
      <c r="C27" s="12">
        <f>1.0724^-C20</f>
        <v>1</v>
      </c>
      <c r="D27" s="12">
        <f t="shared" ref="D27:M27" si="2">1.048^-D20</f>
        <v>0.95419847328244267</v>
      </c>
      <c r="E27" s="12">
        <f t="shared" si="2"/>
        <v>0.91049472641454443</v>
      </c>
      <c r="F27" s="12">
        <f t="shared" si="2"/>
        <v>0.86879267787647374</v>
      </c>
      <c r="G27" s="12">
        <f t="shared" si="2"/>
        <v>0.82900064682869612</v>
      </c>
      <c r="H27" s="12">
        <f t="shared" si="2"/>
        <v>0.79103115155409931</v>
      </c>
      <c r="I27" s="12">
        <f t="shared" si="2"/>
        <v>0.7548007171317741</v>
      </c>
      <c r="J27" s="12">
        <f t="shared" si="2"/>
        <v>0.72022969191963182</v>
      </c>
      <c r="K27" s="12">
        <f t="shared" si="2"/>
        <v>0.68724207244239655</v>
      </c>
      <c r="L27" s="12">
        <f t="shared" si="2"/>
        <v>0.65576533629999678</v>
      </c>
      <c r="M27" s="12">
        <f t="shared" si="2"/>
        <v>0.62573028272900444</v>
      </c>
    </row>
    <row r="28" spans="2:13" x14ac:dyDescent="0.25">
      <c r="B28" t="s">
        <v>51</v>
      </c>
      <c r="C28" s="5">
        <f>C26*C27</f>
        <v>-295000</v>
      </c>
      <c r="D28" s="5">
        <f t="shared" ref="D28:M28" si="3">D26*D27</f>
        <v>240386.45038167943</v>
      </c>
      <c r="E28" s="5">
        <f t="shared" si="3"/>
        <v>229376.38395198417</v>
      </c>
      <c r="F28" s="5">
        <f t="shared" si="3"/>
        <v>218870.5953740307</v>
      </c>
      <c r="G28" s="5">
        <f t="shared" si="3"/>
        <v>208845.98795231932</v>
      </c>
      <c r="H28" s="5">
        <f t="shared" si="3"/>
        <v>199280.52285526652</v>
      </c>
      <c r="I28" s="5">
        <f t="shared" si="3"/>
        <v>190153.17066342224</v>
      </c>
      <c r="J28" s="5">
        <f t="shared" si="3"/>
        <v>181443.86513685327</v>
      </c>
      <c r="K28" s="5">
        <f t="shared" si="3"/>
        <v>173133.45910005079</v>
      </c>
      <c r="L28" s="5">
        <f t="shared" si="3"/>
        <v>165203.68234737671</v>
      </c>
      <c r="M28" s="5">
        <f t="shared" si="3"/>
        <v>242110.68964492009</v>
      </c>
    </row>
    <row r="29" spans="2:13" x14ac:dyDescent="0.25">
      <c r="B29" t="s">
        <v>76</v>
      </c>
      <c r="C29" s="5">
        <f>SUM(C28:M28)</f>
        <v>1753804.8074079035</v>
      </c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2:13" x14ac:dyDescent="0.25">
      <c r="B30" t="s">
        <v>77</v>
      </c>
      <c r="C30">
        <v>1454389</v>
      </c>
    </row>
    <row r="31" spans="2:13" x14ac:dyDescent="0.25">
      <c r="B31" s="18" t="s">
        <v>78</v>
      </c>
      <c r="C31" s="19">
        <f>((C29-C30)/C30)</f>
        <v>0.20587051153983116</v>
      </c>
    </row>
    <row r="34" spans="1:13" x14ac:dyDescent="0.25">
      <c r="A34">
        <v>2</v>
      </c>
      <c r="B34" s="2" t="s">
        <v>79</v>
      </c>
      <c r="C34" s="2"/>
      <c r="D34" s="2"/>
    </row>
    <row r="36" spans="1:13" x14ac:dyDescent="0.25">
      <c r="B36" t="s">
        <v>29</v>
      </c>
      <c r="C36" s="5"/>
      <c r="D36" s="5">
        <f>12*32000</f>
        <v>384000</v>
      </c>
      <c r="E36" s="5"/>
      <c r="F36" s="5"/>
      <c r="G36" s="5"/>
      <c r="H36" s="5"/>
      <c r="I36" s="5"/>
      <c r="J36" s="5"/>
      <c r="K36" s="5"/>
      <c r="L36" s="5"/>
      <c r="M36" s="5"/>
    </row>
    <row r="37" spans="1:13" x14ac:dyDescent="0.25">
      <c r="B37" t="s">
        <v>30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x14ac:dyDescent="0.25">
      <c r="B38" t="s">
        <v>31</v>
      </c>
      <c r="C38" s="5"/>
      <c r="D38" s="9">
        <f>1.1*60000</f>
        <v>66000</v>
      </c>
      <c r="E38" s="5"/>
      <c r="F38" s="5"/>
      <c r="G38" s="5"/>
      <c r="H38" s="5"/>
      <c r="I38" s="5"/>
      <c r="J38" s="5"/>
      <c r="K38" s="5"/>
      <c r="L38" s="5"/>
      <c r="M38" s="5"/>
    </row>
    <row r="39" spans="1:13" x14ac:dyDescent="0.25">
      <c r="B39" t="s">
        <v>32</v>
      </c>
      <c r="C39" s="5"/>
      <c r="D39" s="5">
        <f>D36-D38</f>
        <v>318000</v>
      </c>
      <c r="E39" s="5"/>
      <c r="F39" s="5"/>
      <c r="G39" s="5"/>
      <c r="H39" s="5"/>
      <c r="I39" s="5"/>
      <c r="J39" s="5"/>
      <c r="K39" s="5"/>
      <c r="L39" s="5"/>
      <c r="M39" s="5"/>
    </row>
    <row r="40" spans="1:13" x14ac:dyDescent="0.25">
      <c r="B40" t="s">
        <v>33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25">
      <c r="B41" t="s">
        <v>34</v>
      </c>
      <c r="C41" s="5">
        <f>7000*12</f>
        <v>84000</v>
      </c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x14ac:dyDescent="0.25">
      <c r="B42" t="s">
        <v>36</v>
      </c>
      <c r="C42" s="5">
        <f>19500+500</f>
        <v>20000</v>
      </c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x14ac:dyDescent="0.25">
      <c r="B43" t="s">
        <v>40</v>
      </c>
      <c r="C43" s="5">
        <f>0.05*265500</f>
        <v>13275</v>
      </c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x14ac:dyDescent="0.25">
      <c r="B44" t="s">
        <v>35</v>
      </c>
      <c r="C44" s="9">
        <f>1100*12</f>
        <v>13200</v>
      </c>
      <c r="D44" s="9">
        <f>SUM(C41:C44)</f>
        <v>130475</v>
      </c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25">
      <c r="B45" t="s">
        <v>41</v>
      </c>
      <c r="C45" s="5"/>
      <c r="D45" s="5">
        <f>D39-D44</f>
        <v>187525</v>
      </c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25">
      <c r="B46" t="s">
        <v>42</v>
      </c>
      <c r="C46" s="5"/>
      <c r="D46" s="5">
        <v>0</v>
      </c>
      <c r="E46" s="5"/>
      <c r="F46" s="5"/>
      <c r="G46" s="5"/>
      <c r="H46" s="5"/>
      <c r="I46" s="5"/>
      <c r="J46" s="5"/>
      <c r="K46" s="5"/>
      <c r="L46" s="5"/>
      <c r="M46" s="5"/>
    </row>
    <row r="47" spans="1:13" ht="16.5" thickBot="1" x14ac:dyDescent="0.3">
      <c r="B47" s="4" t="s">
        <v>43</v>
      </c>
      <c r="C47" s="7"/>
      <c r="D47" s="7">
        <f>D45-D46</f>
        <v>187525</v>
      </c>
      <c r="E47" s="5"/>
      <c r="F47" s="5"/>
      <c r="G47" s="5"/>
      <c r="H47" s="5"/>
      <c r="I47" s="5"/>
      <c r="J47" s="5"/>
      <c r="K47" s="5"/>
      <c r="L47" s="5"/>
      <c r="M47" s="5"/>
    </row>
    <row r="48" spans="1:13" ht="16.5" thickTop="1" x14ac:dyDescent="0.25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x14ac:dyDescent="0.25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x14ac:dyDescent="0.25">
      <c r="B50" s="24" t="s">
        <v>54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2:13" x14ac:dyDescent="0.25">
      <c r="C51" s="10">
        <v>0</v>
      </c>
      <c r="D51" s="5">
        <v>1</v>
      </c>
      <c r="E51" s="5">
        <v>2</v>
      </c>
      <c r="F51" s="5">
        <v>3</v>
      </c>
      <c r="G51" s="5">
        <v>4</v>
      </c>
      <c r="H51" s="5">
        <v>5</v>
      </c>
      <c r="I51" s="5">
        <v>6</v>
      </c>
      <c r="J51" s="5">
        <v>7</v>
      </c>
      <c r="K51" s="5">
        <v>8</v>
      </c>
      <c r="L51" s="5">
        <v>9</v>
      </c>
      <c r="M51" s="5">
        <v>10</v>
      </c>
    </row>
    <row r="52" spans="2:13" x14ac:dyDescent="0.25">
      <c r="B52" t="s">
        <v>45</v>
      </c>
      <c r="C52" s="5">
        <v>-295000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</row>
    <row r="53" spans="2:13" x14ac:dyDescent="0.25">
      <c r="B53" t="s">
        <v>46</v>
      </c>
      <c r="C53" s="5">
        <v>0</v>
      </c>
      <c r="D53" s="5">
        <f>D47</f>
        <v>187525</v>
      </c>
      <c r="E53" s="5">
        <f>D53</f>
        <v>187525</v>
      </c>
      <c r="F53" s="5">
        <f t="shared" ref="F53:M53" si="4">E53</f>
        <v>187525</v>
      </c>
      <c r="G53" s="5">
        <f t="shared" si="4"/>
        <v>187525</v>
      </c>
      <c r="H53" s="5">
        <f t="shared" si="4"/>
        <v>187525</v>
      </c>
      <c r="I53" s="5">
        <f t="shared" si="4"/>
        <v>187525</v>
      </c>
      <c r="J53" s="5">
        <f t="shared" si="4"/>
        <v>187525</v>
      </c>
      <c r="K53" s="5">
        <f t="shared" si="4"/>
        <v>187525</v>
      </c>
      <c r="L53" s="5">
        <f t="shared" si="4"/>
        <v>187525</v>
      </c>
      <c r="M53" s="5">
        <f t="shared" si="4"/>
        <v>187525</v>
      </c>
    </row>
    <row r="54" spans="2:13" x14ac:dyDescent="0.25">
      <c r="B54" t="s">
        <v>47</v>
      </c>
      <c r="C54" s="5">
        <v>0</v>
      </c>
      <c r="D54" s="5">
        <v>20000</v>
      </c>
      <c r="E54" s="5">
        <v>20000</v>
      </c>
      <c r="F54" s="5">
        <v>20000</v>
      </c>
      <c r="G54" s="5">
        <v>20000</v>
      </c>
      <c r="H54" s="5">
        <v>20000</v>
      </c>
      <c r="I54" s="5">
        <v>20000</v>
      </c>
      <c r="J54" s="5">
        <v>20000</v>
      </c>
      <c r="K54" s="5">
        <v>20000</v>
      </c>
      <c r="L54" s="5">
        <v>20000</v>
      </c>
      <c r="M54" s="5">
        <v>20000</v>
      </c>
    </row>
    <row r="55" spans="2:13" x14ac:dyDescent="0.25">
      <c r="B55" t="s">
        <v>48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135000</v>
      </c>
    </row>
    <row r="56" spans="2:13" x14ac:dyDescent="0.25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x14ac:dyDescent="0.25">
      <c r="B57" t="s">
        <v>49</v>
      </c>
      <c r="C57" s="5">
        <f t="shared" ref="C57:M57" si="5">SUM(C52:C56)</f>
        <v>-295000</v>
      </c>
      <c r="D57" s="5">
        <f t="shared" si="5"/>
        <v>207525</v>
      </c>
      <c r="E57" s="5">
        <f t="shared" si="5"/>
        <v>207525</v>
      </c>
      <c r="F57" s="5">
        <f t="shared" si="5"/>
        <v>207525</v>
      </c>
      <c r="G57" s="5">
        <f t="shared" si="5"/>
        <v>207525</v>
      </c>
      <c r="H57" s="5">
        <f t="shared" si="5"/>
        <v>207525</v>
      </c>
      <c r="I57" s="5">
        <f t="shared" si="5"/>
        <v>207525</v>
      </c>
      <c r="J57" s="5">
        <f t="shared" si="5"/>
        <v>207525</v>
      </c>
      <c r="K57" s="5">
        <f t="shared" si="5"/>
        <v>207525</v>
      </c>
      <c r="L57" s="5">
        <f t="shared" si="5"/>
        <v>207525</v>
      </c>
      <c r="M57" s="5">
        <f t="shared" si="5"/>
        <v>342525</v>
      </c>
    </row>
    <row r="58" spans="2:13" x14ac:dyDescent="0.25">
      <c r="B58" t="s">
        <v>50</v>
      </c>
      <c r="C58" s="12">
        <f>1.0724^-C51</f>
        <v>1</v>
      </c>
      <c r="D58" s="12">
        <f t="shared" ref="D58:M58" si="6">1.048^-D51</f>
        <v>0.95419847328244267</v>
      </c>
      <c r="E58" s="12">
        <f t="shared" si="6"/>
        <v>0.91049472641454443</v>
      </c>
      <c r="F58" s="12">
        <f t="shared" si="6"/>
        <v>0.86879267787647374</v>
      </c>
      <c r="G58" s="12">
        <f t="shared" si="6"/>
        <v>0.82900064682869612</v>
      </c>
      <c r="H58" s="12">
        <f t="shared" si="6"/>
        <v>0.79103115155409931</v>
      </c>
      <c r="I58" s="12">
        <f t="shared" si="6"/>
        <v>0.7548007171317741</v>
      </c>
      <c r="J58" s="12">
        <f t="shared" si="6"/>
        <v>0.72022969191963182</v>
      </c>
      <c r="K58" s="12">
        <f t="shared" si="6"/>
        <v>0.68724207244239655</v>
      </c>
      <c r="L58" s="12">
        <f t="shared" si="6"/>
        <v>0.65576533629999678</v>
      </c>
      <c r="M58" s="12">
        <f t="shared" si="6"/>
        <v>0.62573028272900444</v>
      </c>
    </row>
    <row r="59" spans="2:13" x14ac:dyDescent="0.25">
      <c r="B59" t="s">
        <v>51</v>
      </c>
      <c r="C59" s="5">
        <f>C57*C58</f>
        <v>-295000</v>
      </c>
      <c r="D59" s="5">
        <f t="shared" ref="D59:M59" si="7">D57*D58</f>
        <v>198020.03816793891</v>
      </c>
      <c r="E59" s="5">
        <f t="shared" si="7"/>
        <v>188950.41809917832</v>
      </c>
      <c r="F59" s="5">
        <f t="shared" si="7"/>
        <v>180296.20047631522</v>
      </c>
      <c r="G59" s="5">
        <f t="shared" si="7"/>
        <v>172038.35923312517</v>
      </c>
      <c r="H59" s="5">
        <f t="shared" si="7"/>
        <v>164158.73972626447</v>
      </c>
      <c r="I59" s="5">
        <f t="shared" si="7"/>
        <v>156640.01882277141</v>
      </c>
      <c r="J59" s="5">
        <f t="shared" si="7"/>
        <v>149465.6668156216</v>
      </c>
      <c r="K59" s="5">
        <f t="shared" si="7"/>
        <v>142619.91108360834</v>
      </c>
      <c r="L59" s="5">
        <f t="shared" si="7"/>
        <v>136087.70141565683</v>
      </c>
      <c r="M59" s="5">
        <f t="shared" si="7"/>
        <v>214328.26509175226</v>
      </c>
    </row>
    <row r="60" spans="2:13" x14ac:dyDescent="0.25">
      <c r="B60" t="s">
        <v>76</v>
      </c>
      <c r="C60" s="5">
        <f>SUM(C59:M59)</f>
        <v>1407605.3189322324</v>
      </c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x14ac:dyDescent="0.25">
      <c r="B61" t="s">
        <v>77</v>
      </c>
      <c r="C61">
        <v>1454389</v>
      </c>
    </row>
    <row r="62" spans="2:13" x14ac:dyDescent="0.25">
      <c r="B62" s="18" t="s">
        <v>78</v>
      </c>
      <c r="C62" s="19">
        <f>((C60-C61)/C61)</f>
        <v>-3.2167240722920452E-2</v>
      </c>
    </row>
    <row r="65" spans="1:13" x14ac:dyDescent="0.25">
      <c r="A65" s="2">
        <v>3</v>
      </c>
      <c r="B65" s="2" t="s">
        <v>80</v>
      </c>
    </row>
    <row r="67" spans="1:13" x14ac:dyDescent="0.25">
      <c r="B67" t="s">
        <v>29</v>
      </c>
      <c r="C67" s="5"/>
      <c r="D67" s="5">
        <f>12*32000</f>
        <v>384000</v>
      </c>
      <c r="E67" s="5"/>
      <c r="F67" s="5"/>
      <c r="G67" s="5"/>
      <c r="H67" s="5"/>
      <c r="I67" s="5"/>
      <c r="J67" s="5"/>
      <c r="K67" s="5"/>
      <c r="L67" s="5"/>
      <c r="M67" s="5"/>
    </row>
    <row r="68" spans="1:13" x14ac:dyDescent="0.25">
      <c r="B68" t="s">
        <v>30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x14ac:dyDescent="0.25">
      <c r="B69" t="s">
        <v>31</v>
      </c>
      <c r="C69" s="5"/>
      <c r="D69" s="9">
        <f>12*5000</f>
        <v>60000</v>
      </c>
      <c r="E69" s="5"/>
      <c r="F69" s="5"/>
      <c r="G69" s="5"/>
      <c r="H69" s="5"/>
      <c r="I69" s="5"/>
      <c r="J69" s="5"/>
      <c r="K69" s="5"/>
      <c r="L69" s="5"/>
      <c r="M69" s="5"/>
    </row>
    <row r="70" spans="1:13" x14ac:dyDescent="0.25">
      <c r="B70" t="s">
        <v>32</v>
      </c>
      <c r="C70" s="5"/>
      <c r="D70" s="5">
        <f>D67-D69</f>
        <v>324000</v>
      </c>
      <c r="E70" s="5"/>
      <c r="F70" s="5"/>
      <c r="G70" s="5"/>
      <c r="H70" s="5"/>
      <c r="I70" s="5"/>
      <c r="J70" s="5"/>
      <c r="K70" s="5"/>
      <c r="L70" s="5"/>
      <c r="M70" s="5"/>
    </row>
    <row r="71" spans="1:13" x14ac:dyDescent="0.25">
      <c r="B71" t="s">
        <v>33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x14ac:dyDescent="0.25">
      <c r="B72" t="s">
        <v>34</v>
      </c>
      <c r="C72" s="5">
        <f>1.1*84000</f>
        <v>92400.000000000015</v>
      </c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x14ac:dyDescent="0.25">
      <c r="B73" t="s">
        <v>36</v>
      </c>
      <c r="C73" s="5">
        <f>19500+500</f>
        <v>20000</v>
      </c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x14ac:dyDescent="0.25">
      <c r="B74" t="s">
        <v>40</v>
      </c>
      <c r="C74" s="5">
        <f>0.05*265500</f>
        <v>13275</v>
      </c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x14ac:dyDescent="0.25">
      <c r="B75" t="s">
        <v>35</v>
      </c>
      <c r="C75" s="9">
        <f>1100*12</f>
        <v>13200</v>
      </c>
      <c r="D75" s="9">
        <f>SUM(C72:C75)</f>
        <v>138875</v>
      </c>
      <c r="E75" s="5"/>
      <c r="F75" s="5"/>
      <c r="G75" s="5"/>
      <c r="H75" s="5"/>
      <c r="I75" s="5"/>
      <c r="J75" s="5"/>
      <c r="K75" s="5"/>
      <c r="L75" s="5"/>
      <c r="M75" s="5"/>
    </row>
    <row r="76" spans="1:13" x14ac:dyDescent="0.25">
      <c r="B76" t="s">
        <v>41</v>
      </c>
      <c r="C76" s="5"/>
      <c r="D76" s="5">
        <f>D70-D75</f>
        <v>185125</v>
      </c>
      <c r="E76" s="5"/>
      <c r="F76" s="5"/>
      <c r="G76" s="5"/>
      <c r="H76" s="5"/>
      <c r="I76" s="5"/>
      <c r="J76" s="5"/>
      <c r="K76" s="5"/>
      <c r="L76" s="5"/>
      <c r="M76" s="5"/>
    </row>
    <row r="77" spans="1:13" x14ac:dyDescent="0.25">
      <c r="B77" t="s">
        <v>42</v>
      </c>
      <c r="C77" s="5"/>
      <c r="D77" s="5">
        <v>0</v>
      </c>
      <c r="E77" s="5"/>
      <c r="F77" s="5"/>
      <c r="G77" s="5"/>
      <c r="H77" s="5"/>
      <c r="I77" s="5"/>
      <c r="J77" s="5"/>
      <c r="K77" s="5"/>
      <c r="L77" s="5"/>
      <c r="M77" s="5"/>
    </row>
    <row r="78" spans="1:13" ht="16.5" thickBot="1" x14ac:dyDescent="0.3">
      <c r="B78" s="4" t="s">
        <v>43</v>
      </c>
      <c r="C78" s="7"/>
      <c r="D78" s="7">
        <f>D76-D77</f>
        <v>185125</v>
      </c>
      <c r="E78" s="5"/>
      <c r="F78" s="5"/>
      <c r="G78" s="5"/>
      <c r="H78" s="5"/>
      <c r="I78" s="5"/>
      <c r="J78" s="5"/>
      <c r="K78" s="5"/>
      <c r="L78" s="5"/>
      <c r="M78" s="5"/>
    </row>
    <row r="79" spans="1:13" ht="16.5" thickTop="1" x14ac:dyDescent="0.25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x14ac:dyDescent="0.25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x14ac:dyDescent="0.25">
      <c r="B81" s="24" t="s">
        <v>54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13" x14ac:dyDescent="0.25">
      <c r="C82" s="10">
        <v>0</v>
      </c>
      <c r="D82" s="5">
        <v>1</v>
      </c>
      <c r="E82" s="5">
        <v>2</v>
      </c>
      <c r="F82" s="5">
        <v>3</v>
      </c>
      <c r="G82" s="5">
        <v>4</v>
      </c>
      <c r="H82" s="5">
        <v>5</v>
      </c>
      <c r="I82" s="5">
        <v>6</v>
      </c>
      <c r="J82" s="5">
        <v>7</v>
      </c>
      <c r="K82" s="5">
        <v>8</v>
      </c>
      <c r="L82" s="5">
        <v>9</v>
      </c>
      <c r="M82" s="5">
        <v>10</v>
      </c>
    </row>
    <row r="83" spans="1:13" x14ac:dyDescent="0.25">
      <c r="B83" t="s">
        <v>45</v>
      </c>
      <c r="C83" s="5">
        <v>-295000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</row>
    <row r="84" spans="1:13" x14ac:dyDescent="0.25">
      <c r="B84" t="s">
        <v>46</v>
      </c>
      <c r="C84" s="5">
        <v>0</v>
      </c>
      <c r="D84" s="5">
        <f>D78</f>
        <v>185125</v>
      </c>
      <c r="E84" s="5">
        <f>D84</f>
        <v>185125</v>
      </c>
      <c r="F84" s="5">
        <f t="shared" ref="F84:M84" si="8">E84</f>
        <v>185125</v>
      </c>
      <c r="G84" s="5">
        <f t="shared" si="8"/>
        <v>185125</v>
      </c>
      <c r="H84" s="5">
        <f t="shared" si="8"/>
        <v>185125</v>
      </c>
      <c r="I84" s="5">
        <f t="shared" si="8"/>
        <v>185125</v>
      </c>
      <c r="J84" s="5">
        <f t="shared" si="8"/>
        <v>185125</v>
      </c>
      <c r="K84" s="5">
        <f t="shared" si="8"/>
        <v>185125</v>
      </c>
      <c r="L84" s="5">
        <f t="shared" si="8"/>
        <v>185125</v>
      </c>
      <c r="M84" s="5">
        <f t="shared" si="8"/>
        <v>185125</v>
      </c>
    </row>
    <row r="85" spans="1:13" x14ac:dyDescent="0.25">
      <c r="B85" t="s">
        <v>47</v>
      </c>
      <c r="C85" s="5">
        <v>0</v>
      </c>
      <c r="D85" s="5">
        <v>20000</v>
      </c>
      <c r="E85" s="5">
        <v>20000</v>
      </c>
      <c r="F85" s="5">
        <v>20000</v>
      </c>
      <c r="G85" s="5">
        <v>20000</v>
      </c>
      <c r="H85" s="5">
        <v>20000</v>
      </c>
      <c r="I85" s="5">
        <v>20000</v>
      </c>
      <c r="J85" s="5">
        <v>20000</v>
      </c>
      <c r="K85" s="5">
        <v>20000</v>
      </c>
      <c r="L85" s="5">
        <v>20000</v>
      </c>
      <c r="M85" s="5">
        <v>20000</v>
      </c>
    </row>
    <row r="86" spans="1:13" x14ac:dyDescent="0.25">
      <c r="B86" t="s">
        <v>48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135000</v>
      </c>
    </row>
    <row r="87" spans="1:13" x14ac:dyDescent="0.2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 x14ac:dyDescent="0.25">
      <c r="B88" t="s">
        <v>49</v>
      </c>
      <c r="C88" s="5">
        <f t="shared" ref="C88:M88" si="9">SUM(C83:C87)</f>
        <v>-295000</v>
      </c>
      <c r="D88" s="5">
        <f t="shared" si="9"/>
        <v>205125</v>
      </c>
      <c r="E88" s="5">
        <f t="shared" si="9"/>
        <v>205125</v>
      </c>
      <c r="F88" s="5">
        <f t="shared" si="9"/>
        <v>205125</v>
      </c>
      <c r="G88" s="5">
        <f t="shared" si="9"/>
        <v>205125</v>
      </c>
      <c r="H88" s="5">
        <f t="shared" si="9"/>
        <v>205125</v>
      </c>
      <c r="I88" s="5">
        <f t="shared" si="9"/>
        <v>205125</v>
      </c>
      <c r="J88" s="5">
        <f t="shared" si="9"/>
        <v>205125</v>
      </c>
      <c r="K88" s="5">
        <f t="shared" si="9"/>
        <v>205125</v>
      </c>
      <c r="L88" s="5">
        <f t="shared" si="9"/>
        <v>205125</v>
      </c>
      <c r="M88" s="5">
        <f t="shared" si="9"/>
        <v>340125</v>
      </c>
    </row>
    <row r="89" spans="1:13" x14ac:dyDescent="0.25">
      <c r="B89" t="s">
        <v>50</v>
      </c>
      <c r="C89" s="12">
        <f>1.0724^-C82</f>
        <v>1</v>
      </c>
      <c r="D89" s="12">
        <f t="shared" ref="D89:M89" si="10">1.048^-D82</f>
        <v>0.95419847328244267</v>
      </c>
      <c r="E89" s="12">
        <f t="shared" si="10"/>
        <v>0.91049472641454443</v>
      </c>
      <c r="F89" s="12">
        <f t="shared" si="10"/>
        <v>0.86879267787647374</v>
      </c>
      <c r="G89" s="12">
        <f t="shared" si="10"/>
        <v>0.82900064682869612</v>
      </c>
      <c r="H89" s="12">
        <f t="shared" si="10"/>
        <v>0.79103115155409931</v>
      </c>
      <c r="I89" s="12">
        <f t="shared" si="10"/>
        <v>0.7548007171317741</v>
      </c>
      <c r="J89" s="12">
        <f t="shared" si="10"/>
        <v>0.72022969191963182</v>
      </c>
      <c r="K89" s="12">
        <f t="shared" si="10"/>
        <v>0.68724207244239655</v>
      </c>
      <c r="L89" s="12">
        <f t="shared" si="10"/>
        <v>0.65576533629999678</v>
      </c>
      <c r="M89" s="12">
        <f t="shared" si="10"/>
        <v>0.62573028272900444</v>
      </c>
    </row>
    <row r="90" spans="1:13" x14ac:dyDescent="0.25">
      <c r="B90" t="s">
        <v>51</v>
      </c>
      <c r="C90" s="5">
        <f>C88*C89</f>
        <v>-295000</v>
      </c>
      <c r="D90" s="5">
        <f t="shared" ref="D90:M90" si="11">D88*D89</f>
        <v>195729.96183206106</v>
      </c>
      <c r="E90" s="5">
        <f t="shared" si="11"/>
        <v>186765.23075578341</v>
      </c>
      <c r="F90" s="5">
        <f t="shared" si="11"/>
        <v>178211.09804941167</v>
      </c>
      <c r="G90" s="5">
        <f t="shared" si="11"/>
        <v>170048.75768073628</v>
      </c>
      <c r="H90" s="5">
        <f t="shared" si="11"/>
        <v>162260.26496253462</v>
      </c>
      <c r="I90" s="5">
        <f t="shared" si="11"/>
        <v>154828.49710165517</v>
      </c>
      <c r="J90" s="5">
        <f t="shared" si="11"/>
        <v>147737.11555501449</v>
      </c>
      <c r="K90" s="5">
        <f t="shared" si="11"/>
        <v>140970.53010974659</v>
      </c>
      <c r="L90" s="5">
        <f t="shared" si="11"/>
        <v>134513.86460853685</v>
      </c>
      <c r="M90" s="5">
        <f t="shared" si="11"/>
        <v>212826.51241320264</v>
      </c>
    </row>
    <row r="91" spans="1:13" x14ac:dyDescent="0.25">
      <c r="B91" t="s">
        <v>76</v>
      </c>
      <c r="C91" s="5">
        <f>SUM(C90:M90)</f>
        <v>1388891.8330686828</v>
      </c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 x14ac:dyDescent="0.25">
      <c r="B92" t="s">
        <v>77</v>
      </c>
      <c r="C92">
        <v>1454389</v>
      </c>
    </row>
    <row r="93" spans="1:13" x14ac:dyDescent="0.25">
      <c r="B93" s="18" t="s">
        <v>78</v>
      </c>
      <c r="C93" s="19">
        <f>((C91-C92)/C92)</f>
        <v>-4.5034146250636647E-2</v>
      </c>
    </row>
    <row r="96" spans="1:13" x14ac:dyDescent="0.25">
      <c r="A96">
        <v>4</v>
      </c>
      <c r="B96" s="2" t="s">
        <v>81</v>
      </c>
    </row>
    <row r="98" spans="2:13" x14ac:dyDescent="0.25">
      <c r="B98" t="s">
        <v>29</v>
      </c>
      <c r="C98" s="5"/>
      <c r="D98" s="5">
        <f>12*32000</f>
        <v>384000</v>
      </c>
      <c r="E98" s="5"/>
      <c r="F98" s="5"/>
      <c r="G98" s="5"/>
      <c r="H98" s="5"/>
      <c r="I98" s="5"/>
      <c r="J98" s="5"/>
      <c r="K98" s="5"/>
      <c r="L98" s="5"/>
      <c r="M98" s="5"/>
    </row>
    <row r="99" spans="2:13" x14ac:dyDescent="0.25">
      <c r="B99" t="s">
        <v>30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x14ac:dyDescent="0.25">
      <c r="B100" t="s">
        <v>31</v>
      </c>
      <c r="C100" s="5"/>
      <c r="D100" s="9">
        <f>12*5000</f>
        <v>60000</v>
      </c>
      <c r="E100" s="5"/>
      <c r="F100" s="5"/>
      <c r="G100" s="5"/>
      <c r="H100" s="5"/>
      <c r="I100" s="5"/>
      <c r="J100" s="5"/>
      <c r="K100" s="5"/>
      <c r="L100" s="5"/>
      <c r="M100" s="5"/>
    </row>
    <row r="101" spans="2:13" x14ac:dyDescent="0.25">
      <c r="B101" t="s">
        <v>32</v>
      </c>
      <c r="C101" s="5"/>
      <c r="D101" s="5">
        <f>D98-D100</f>
        <v>324000</v>
      </c>
      <c r="E101" s="5"/>
      <c r="F101" s="5"/>
      <c r="G101" s="5"/>
      <c r="H101" s="5"/>
      <c r="I101" s="5"/>
      <c r="J101" s="5"/>
      <c r="K101" s="5"/>
      <c r="L101" s="5"/>
      <c r="M101" s="5"/>
    </row>
    <row r="102" spans="2:13" x14ac:dyDescent="0.25">
      <c r="B102" t="s">
        <v>33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x14ac:dyDescent="0.25">
      <c r="B103" t="s">
        <v>34</v>
      </c>
      <c r="C103" s="5">
        <f>7000*12</f>
        <v>84000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x14ac:dyDescent="0.25">
      <c r="B104" t="s">
        <v>36</v>
      </c>
      <c r="C104" s="5">
        <f>19500+500</f>
        <v>20000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x14ac:dyDescent="0.25">
      <c r="B105" t="s">
        <v>40</v>
      </c>
      <c r="C105" s="5">
        <f>0.05*265500</f>
        <v>13275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x14ac:dyDescent="0.25">
      <c r="B106" t="s">
        <v>35</v>
      </c>
      <c r="C106" s="9">
        <f>13200*1.1</f>
        <v>14520.000000000002</v>
      </c>
      <c r="D106" s="9">
        <f>SUM(C103:C106)</f>
        <v>131795</v>
      </c>
      <c r="E106" s="5"/>
      <c r="F106" s="5"/>
      <c r="G106" s="5"/>
      <c r="H106" s="5"/>
      <c r="I106" s="5"/>
      <c r="J106" s="5"/>
      <c r="K106" s="5"/>
      <c r="L106" s="5"/>
      <c r="M106" s="5"/>
    </row>
    <row r="107" spans="2:13" x14ac:dyDescent="0.25">
      <c r="B107" t="s">
        <v>41</v>
      </c>
      <c r="C107" s="5"/>
      <c r="D107" s="5">
        <f>D101-D106</f>
        <v>192205</v>
      </c>
      <c r="E107" s="5"/>
      <c r="F107" s="5"/>
      <c r="G107" s="5"/>
      <c r="H107" s="5"/>
      <c r="I107" s="5"/>
      <c r="J107" s="5"/>
      <c r="K107" s="5"/>
      <c r="L107" s="5"/>
      <c r="M107" s="5"/>
    </row>
    <row r="108" spans="2:13" x14ac:dyDescent="0.25">
      <c r="B108" t="s">
        <v>42</v>
      </c>
      <c r="C108" s="5"/>
      <c r="D108" s="5">
        <v>0</v>
      </c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6.5" thickBot="1" x14ac:dyDescent="0.3">
      <c r="B109" s="4" t="s">
        <v>43</v>
      </c>
      <c r="C109" s="7"/>
      <c r="D109" s="7">
        <f>D107-D108</f>
        <v>192205</v>
      </c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6.5" thickTop="1" x14ac:dyDescent="0.2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x14ac:dyDescent="0.2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6.5" thickBot="1" x14ac:dyDescent="0.3">
      <c r="B112" s="25" t="s">
        <v>54</v>
      </c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</row>
    <row r="113" spans="2:13" x14ac:dyDescent="0.25">
      <c r="C113" s="10">
        <v>0</v>
      </c>
      <c r="D113" s="5">
        <v>1</v>
      </c>
      <c r="E113" s="5">
        <v>2</v>
      </c>
      <c r="F113" s="5">
        <v>3</v>
      </c>
      <c r="G113" s="5">
        <v>4</v>
      </c>
      <c r="H113" s="5">
        <v>5</v>
      </c>
      <c r="I113" s="5">
        <v>6</v>
      </c>
      <c r="J113" s="5">
        <v>7</v>
      </c>
      <c r="K113" s="5">
        <v>8</v>
      </c>
      <c r="L113" s="5">
        <v>9</v>
      </c>
      <c r="M113" s="5">
        <v>10</v>
      </c>
    </row>
    <row r="114" spans="2:13" x14ac:dyDescent="0.25">
      <c r="B114" t="s">
        <v>45</v>
      </c>
      <c r="C114" s="5">
        <v>-295000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</row>
    <row r="115" spans="2:13" x14ac:dyDescent="0.25">
      <c r="B115" t="s">
        <v>46</v>
      </c>
      <c r="C115" s="5">
        <v>0</v>
      </c>
      <c r="D115" s="5">
        <f>D109</f>
        <v>192205</v>
      </c>
      <c r="E115" s="5">
        <f>D115</f>
        <v>192205</v>
      </c>
      <c r="F115" s="5">
        <f t="shared" ref="F115:M115" si="12">E115</f>
        <v>192205</v>
      </c>
      <c r="G115" s="5">
        <f t="shared" si="12"/>
        <v>192205</v>
      </c>
      <c r="H115" s="5">
        <f t="shared" si="12"/>
        <v>192205</v>
      </c>
      <c r="I115" s="5">
        <f t="shared" si="12"/>
        <v>192205</v>
      </c>
      <c r="J115" s="5">
        <f t="shared" si="12"/>
        <v>192205</v>
      </c>
      <c r="K115" s="5">
        <f t="shared" si="12"/>
        <v>192205</v>
      </c>
      <c r="L115" s="5">
        <f t="shared" si="12"/>
        <v>192205</v>
      </c>
      <c r="M115" s="5">
        <f t="shared" si="12"/>
        <v>192205</v>
      </c>
    </row>
    <row r="116" spans="2:13" x14ac:dyDescent="0.25">
      <c r="B116" t="s">
        <v>47</v>
      </c>
      <c r="C116" s="5">
        <v>0</v>
      </c>
      <c r="D116" s="5">
        <v>20000</v>
      </c>
      <c r="E116" s="5">
        <v>20000</v>
      </c>
      <c r="F116" s="5">
        <v>20000</v>
      </c>
      <c r="G116" s="5">
        <v>20000</v>
      </c>
      <c r="H116" s="5">
        <v>20000</v>
      </c>
      <c r="I116" s="5">
        <v>20000</v>
      </c>
      <c r="J116" s="5">
        <v>20000</v>
      </c>
      <c r="K116" s="5">
        <v>20000</v>
      </c>
      <c r="L116" s="5">
        <v>20000</v>
      </c>
      <c r="M116" s="5">
        <v>20000</v>
      </c>
    </row>
    <row r="117" spans="2:13" x14ac:dyDescent="0.25">
      <c r="B117" t="s">
        <v>48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135000</v>
      </c>
    </row>
    <row r="118" spans="2:13" x14ac:dyDescent="0.2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x14ac:dyDescent="0.25">
      <c r="B119" t="s">
        <v>49</v>
      </c>
      <c r="C119" s="5">
        <f t="shared" ref="C119:M119" si="13">SUM(C114:C118)</f>
        <v>-295000</v>
      </c>
      <c r="D119" s="5">
        <f t="shared" si="13"/>
        <v>212205</v>
      </c>
      <c r="E119" s="5">
        <f t="shared" si="13"/>
        <v>212205</v>
      </c>
      <c r="F119" s="5">
        <f t="shared" si="13"/>
        <v>212205</v>
      </c>
      <c r="G119" s="5">
        <f t="shared" si="13"/>
        <v>212205</v>
      </c>
      <c r="H119" s="5">
        <f t="shared" si="13"/>
        <v>212205</v>
      </c>
      <c r="I119" s="5">
        <f t="shared" si="13"/>
        <v>212205</v>
      </c>
      <c r="J119" s="5">
        <f t="shared" si="13"/>
        <v>212205</v>
      </c>
      <c r="K119" s="5">
        <f t="shared" si="13"/>
        <v>212205</v>
      </c>
      <c r="L119" s="5">
        <f t="shared" si="13"/>
        <v>212205</v>
      </c>
      <c r="M119" s="5">
        <f t="shared" si="13"/>
        <v>347205</v>
      </c>
    </row>
    <row r="120" spans="2:13" x14ac:dyDescent="0.25">
      <c r="B120" t="s">
        <v>50</v>
      </c>
      <c r="C120" s="12">
        <f>1.0724^-C113</f>
        <v>1</v>
      </c>
      <c r="D120" s="12">
        <f t="shared" ref="D120:M120" si="14">1.048^-D113</f>
        <v>0.95419847328244267</v>
      </c>
      <c r="E120" s="12">
        <f t="shared" si="14"/>
        <v>0.91049472641454443</v>
      </c>
      <c r="F120" s="12">
        <f t="shared" si="14"/>
        <v>0.86879267787647374</v>
      </c>
      <c r="G120" s="12">
        <f t="shared" si="14"/>
        <v>0.82900064682869612</v>
      </c>
      <c r="H120" s="12">
        <f t="shared" si="14"/>
        <v>0.79103115155409931</v>
      </c>
      <c r="I120" s="12">
        <f t="shared" si="14"/>
        <v>0.7548007171317741</v>
      </c>
      <c r="J120" s="12">
        <f t="shared" si="14"/>
        <v>0.72022969191963182</v>
      </c>
      <c r="K120" s="12">
        <f t="shared" si="14"/>
        <v>0.68724207244239655</v>
      </c>
      <c r="L120" s="12">
        <f t="shared" si="14"/>
        <v>0.65576533629999678</v>
      </c>
      <c r="M120" s="12">
        <f t="shared" si="14"/>
        <v>0.62573028272900444</v>
      </c>
    </row>
    <row r="121" spans="2:13" x14ac:dyDescent="0.25">
      <c r="B121" t="s">
        <v>51</v>
      </c>
      <c r="C121" s="5">
        <f>C119*C120</f>
        <v>-295000</v>
      </c>
      <c r="D121" s="5">
        <f t="shared" ref="D121:M121" si="15">D119*D120</f>
        <v>202485.68702290073</v>
      </c>
      <c r="E121" s="5">
        <f t="shared" si="15"/>
        <v>193211.53341879841</v>
      </c>
      <c r="F121" s="5">
        <f t="shared" si="15"/>
        <v>184362.15020877711</v>
      </c>
      <c r="G121" s="5">
        <f t="shared" si="15"/>
        <v>175918.08226028347</v>
      </c>
      <c r="H121" s="5">
        <f t="shared" si="15"/>
        <v>167860.76551553764</v>
      </c>
      <c r="I121" s="5">
        <f t="shared" si="15"/>
        <v>160172.48617894814</v>
      </c>
      <c r="J121" s="5">
        <f t="shared" si="15"/>
        <v>152836.34177380547</v>
      </c>
      <c r="K121" s="5">
        <f t="shared" si="15"/>
        <v>145836.20398263875</v>
      </c>
      <c r="L121" s="5">
        <f t="shared" si="15"/>
        <v>139156.68318954081</v>
      </c>
      <c r="M121" s="5">
        <f t="shared" si="15"/>
        <v>217256.68281492399</v>
      </c>
    </row>
    <row r="122" spans="2:13" x14ac:dyDescent="0.25">
      <c r="B122" t="s">
        <v>76</v>
      </c>
      <c r="C122" s="5">
        <f>SUM(C121:M121)</f>
        <v>1444096.6163661545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x14ac:dyDescent="0.25">
      <c r="B123" t="s">
        <v>77</v>
      </c>
      <c r="C123">
        <v>1454389</v>
      </c>
    </row>
    <row r="124" spans="2:13" x14ac:dyDescent="0.25">
      <c r="B124" s="18" t="s">
        <v>78</v>
      </c>
      <c r="C124" s="19">
        <f>((C122-C123)/C123)</f>
        <v>-7.076774943873672E-3</v>
      </c>
    </row>
  </sheetData>
  <mergeCells count="5">
    <mergeCell ref="B19:M19"/>
    <mergeCell ref="B50:M50"/>
    <mergeCell ref="B81:M81"/>
    <mergeCell ref="B112:M112"/>
    <mergeCell ref="B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E16C1-6E3E-45E8-AC76-F0601D557734}">
  <dimension ref="B2:L39"/>
  <sheetViews>
    <sheetView tabSelected="1" topLeftCell="A25" workbookViewId="0">
      <selection activeCell="K40" sqref="K40"/>
    </sheetView>
  </sheetViews>
  <sheetFormatPr defaultRowHeight="15.75" x14ac:dyDescent="0.25"/>
  <cols>
    <col min="1" max="2" width="9" style="5"/>
    <col min="3" max="3" width="14" style="5" bestFit="1" customWidth="1"/>
    <col min="4" max="13" width="11.375" style="5" bestFit="1" customWidth="1"/>
    <col min="14" max="16384" width="9" style="5"/>
  </cols>
  <sheetData>
    <row r="2" spans="2:12" x14ac:dyDescent="0.25">
      <c r="B2" s="24" t="s">
        <v>70</v>
      </c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2:12" x14ac:dyDescent="0.25">
      <c r="B3" s="5" t="s">
        <v>44</v>
      </c>
      <c r="C3" s="5" t="s">
        <v>49</v>
      </c>
      <c r="D3" s="5" t="s">
        <v>61</v>
      </c>
      <c r="E3" s="5" t="s">
        <v>62</v>
      </c>
      <c r="F3" s="5" t="s">
        <v>63</v>
      </c>
      <c r="G3" s="5" t="s">
        <v>64</v>
      </c>
      <c r="H3" s="5" t="s">
        <v>65</v>
      </c>
      <c r="I3" s="5" t="s">
        <v>66</v>
      </c>
      <c r="J3" s="5" t="s">
        <v>67</v>
      </c>
      <c r="K3" s="5" t="s">
        <v>68</v>
      </c>
      <c r="L3" s="5" t="s">
        <v>69</v>
      </c>
    </row>
    <row r="4" spans="2:12" x14ac:dyDescent="0.25">
      <c r="B4" s="5">
        <v>0</v>
      </c>
      <c r="C4" s="5">
        <v>-295000</v>
      </c>
      <c r="D4" s="5">
        <f>(1.1^-B4)*C4</f>
        <v>-295000</v>
      </c>
      <c r="E4" s="5">
        <f>(1.2^-B4)*C4</f>
        <v>-295000</v>
      </c>
      <c r="F4" s="5">
        <f>(1.3^-B4)*C4</f>
        <v>-295000</v>
      </c>
      <c r="G4" s="5">
        <f>(1.4^-B4)*C4</f>
        <v>-295000</v>
      </c>
      <c r="H4" s="5">
        <f>(1.5^-B4)*C4</f>
        <v>-295000</v>
      </c>
      <c r="I4" s="5">
        <f>(1.6^-B4)*C4</f>
        <v>-295000</v>
      </c>
      <c r="J4" s="5">
        <f>(1.7^-B4)*C4</f>
        <v>-295000</v>
      </c>
      <c r="K4" s="5">
        <f>(1.8^-B4)*C4</f>
        <v>-295000</v>
      </c>
      <c r="L4" s="5">
        <f>(1.9^-B4)*C4</f>
        <v>-295000</v>
      </c>
    </row>
    <row r="5" spans="2:12" x14ac:dyDescent="0.25">
      <c r="B5" s="5">
        <v>1</v>
      </c>
      <c r="C5" s="5">
        <v>213525</v>
      </c>
      <c r="D5" s="5">
        <f t="shared" ref="D5:D14" si="0">(1.1^-B5)*C5</f>
        <v>194113.63636363635</v>
      </c>
      <c r="E5" s="5">
        <f t="shared" ref="E5:E14" si="1">(1.2^-B5)*C5</f>
        <v>177937.5</v>
      </c>
      <c r="F5" s="5">
        <f t="shared" ref="F5:F14" si="2">(1.3^-B5)*C5</f>
        <v>164249.99999999997</v>
      </c>
      <c r="G5" s="5">
        <f t="shared" ref="G5:G14" si="3">(1.4^-B5)*C5</f>
        <v>152517.85714285716</v>
      </c>
      <c r="H5" s="5">
        <f t="shared" ref="H5:H14" si="4">(1.5^-B5)*C5</f>
        <v>142350</v>
      </c>
      <c r="I5" s="5">
        <f t="shared" ref="I5:I14" si="5">(1.6^-B5)*C5</f>
        <v>133453.125</v>
      </c>
      <c r="J5" s="5">
        <f t="shared" ref="J5:J14" si="6">(1.7^-B5)*C5</f>
        <v>125602.94117647059</v>
      </c>
      <c r="K5" s="5">
        <f t="shared" ref="K5:K14" si="7">(1.8^-B5)*C5</f>
        <v>118625</v>
      </c>
      <c r="L5" s="5">
        <f t="shared" ref="L5:L14" si="8">(1.9^-B5)*C5</f>
        <v>112381.57894736841</v>
      </c>
    </row>
    <row r="6" spans="2:12" x14ac:dyDescent="0.25">
      <c r="B6" s="5">
        <v>2</v>
      </c>
      <c r="C6" s="5">
        <v>213525</v>
      </c>
      <c r="D6" s="5">
        <f t="shared" si="0"/>
        <v>176466.94214876031</v>
      </c>
      <c r="E6" s="5">
        <f t="shared" si="1"/>
        <v>148281.25</v>
      </c>
      <c r="F6" s="5">
        <f t="shared" si="2"/>
        <v>126346.15384615383</v>
      </c>
      <c r="G6" s="5">
        <f t="shared" si="3"/>
        <v>108941.32653061228</v>
      </c>
      <c r="H6" s="5">
        <f t="shared" si="4"/>
        <v>94900</v>
      </c>
      <c r="I6" s="5">
        <f t="shared" si="5"/>
        <v>83408.203124999985</v>
      </c>
      <c r="J6" s="5">
        <f t="shared" si="6"/>
        <v>73884.083044982704</v>
      </c>
      <c r="K6" s="5">
        <f t="shared" si="7"/>
        <v>65902.777777777781</v>
      </c>
      <c r="L6" s="5">
        <f t="shared" si="8"/>
        <v>59148.19944598338</v>
      </c>
    </row>
    <row r="7" spans="2:12" x14ac:dyDescent="0.25">
      <c r="B7" s="5">
        <v>3</v>
      </c>
      <c r="C7" s="5">
        <v>213525</v>
      </c>
      <c r="D7" s="5">
        <f t="shared" si="0"/>
        <v>160424.49286250933</v>
      </c>
      <c r="E7" s="5">
        <f t="shared" si="1"/>
        <v>123567.70833333334</v>
      </c>
      <c r="F7" s="5">
        <f t="shared" si="2"/>
        <v>97189.349112426018</v>
      </c>
      <c r="G7" s="5">
        <f t="shared" si="3"/>
        <v>77815.233236151616</v>
      </c>
      <c r="H7" s="5">
        <f t="shared" si="4"/>
        <v>63266.666666666664</v>
      </c>
      <c r="I7" s="5">
        <f t="shared" si="5"/>
        <v>52130.126953124985</v>
      </c>
      <c r="J7" s="5">
        <f t="shared" si="6"/>
        <v>43461.225320578065</v>
      </c>
      <c r="K7" s="5">
        <f t="shared" si="7"/>
        <v>36612.654320987647</v>
      </c>
      <c r="L7" s="5">
        <f t="shared" si="8"/>
        <v>31130.631287359676</v>
      </c>
    </row>
    <row r="8" spans="2:12" x14ac:dyDescent="0.25">
      <c r="B8" s="5">
        <v>4</v>
      </c>
      <c r="C8" s="5">
        <v>213525</v>
      </c>
      <c r="D8" s="5">
        <f t="shared" si="0"/>
        <v>145840.44805682669</v>
      </c>
      <c r="E8" s="5">
        <f t="shared" si="1"/>
        <v>102973.09027777778</v>
      </c>
      <c r="F8" s="5">
        <f t="shared" si="2"/>
        <v>74761.03777878925</v>
      </c>
      <c r="G8" s="5">
        <f t="shared" si="3"/>
        <v>55582.309454394017</v>
      </c>
      <c r="H8" s="5">
        <f t="shared" si="4"/>
        <v>42177.777777777774</v>
      </c>
      <c r="I8" s="5">
        <f t="shared" si="5"/>
        <v>32581.329345703114</v>
      </c>
      <c r="J8" s="5">
        <f t="shared" si="6"/>
        <v>25565.426659163571</v>
      </c>
      <c r="K8" s="5">
        <f t="shared" si="7"/>
        <v>20340.363511659805</v>
      </c>
      <c r="L8" s="5">
        <f t="shared" si="8"/>
        <v>16384.542782820881</v>
      </c>
    </row>
    <row r="9" spans="2:12" x14ac:dyDescent="0.25">
      <c r="B9" s="5">
        <v>5</v>
      </c>
      <c r="C9" s="5">
        <v>213525</v>
      </c>
      <c r="D9" s="5">
        <f t="shared" si="0"/>
        <v>132582.22550620604</v>
      </c>
      <c r="E9" s="5">
        <f t="shared" si="1"/>
        <v>85810.908564814818</v>
      </c>
      <c r="F9" s="5">
        <f t="shared" si="2"/>
        <v>57508.490599068646</v>
      </c>
      <c r="G9" s="5">
        <f t="shared" si="3"/>
        <v>39701.649610281442</v>
      </c>
      <c r="H9" s="5">
        <f t="shared" si="4"/>
        <v>28118.518518518522</v>
      </c>
      <c r="I9" s="5">
        <f t="shared" si="5"/>
        <v>20363.330841064442</v>
      </c>
      <c r="J9" s="5">
        <f t="shared" si="6"/>
        <v>15038.486270096217</v>
      </c>
      <c r="K9" s="5">
        <f t="shared" si="7"/>
        <v>11300.201950922114</v>
      </c>
      <c r="L9" s="5">
        <f t="shared" si="8"/>
        <v>8623.4435699057267</v>
      </c>
    </row>
    <row r="10" spans="2:12" x14ac:dyDescent="0.25">
      <c r="B10" s="5">
        <v>6</v>
      </c>
      <c r="C10" s="5">
        <v>213525</v>
      </c>
      <c r="D10" s="5">
        <f t="shared" si="0"/>
        <v>120529.29591473278</v>
      </c>
      <c r="E10" s="5">
        <f t="shared" si="1"/>
        <v>71509.090470679017</v>
      </c>
      <c r="F10" s="5">
        <f t="shared" si="2"/>
        <v>44237.300460822029</v>
      </c>
      <c r="G10" s="5">
        <f t="shared" si="3"/>
        <v>28358.321150201034</v>
      </c>
      <c r="H10" s="5">
        <f t="shared" si="4"/>
        <v>18745.679012345678</v>
      </c>
      <c r="I10" s="5">
        <f t="shared" si="5"/>
        <v>12727.081775665276</v>
      </c>
      <c r="J10" s="5">
        <f t="shared" si="6"/>
        <v>8846.1683941742467</v>
      </c>
      <c r="K10" s="5">
        <f t="shared" si="7"/>
        <v>6277.889972734507</v>
      </c>
      <c r="L10" s="5">
        <f t="shared" si="8"/>
        <v>4538.6545104766992</v>
      </c>
    </row>
    <row r="11" spans="2:12" x14ac:dyDescent="0.25">
      <c r="B11" s="5">
        <v>7</v>
      </c>
      <c r="C11" s="5">
        <v>213525</v>
      </c>
      <c r="D11" s="5">
        <f t="shared" si="0"/>
        <v>109572.0871952116</v>
      </c>
      <c r="E11" s="5">
        <f t="shared" si="1"/>
        <v>59590.908725565845</v>
      </c>
      <c r="F11" s="5">
        <f t="shared" si="2"/>
        <v>34028.69266217079</v>
      </c>
      <c r="G11" s="5">
        <f t="shared" si="3"/>
        <v>20255.94367871503</v>
      </c>
      <c r="H11" s="5">
        <f t="shared" si="4"/>
        <v>12497.119341563786</v>
      </c>
      <c r="I11" s="5">
        <f t="shared" si="5"/>
        <v>7954.4261097907956</v>
      </c>
      <c r="J11" s="5">
        <f t="shared" si="6"/>
        <v>5203.6284671613221</v>
      </c>
      <c r="K11" s="5">
        <f t="shared" si="7"/>
        <v>3487.7166515191707</v>
      </c>
      <c r="L11" s="5">
        <f t="shared" si="8"/>
        <v>2388.7655318298416</v>
      </c>
    </row>
    <row r="12" spans="2:12" x14ac:dyDescent="0.25">
      <c r="B12" s="5">
        <v>8</v>
      </c>
      <c r="C12" s="5">
        <v>213525</v>
      </c>
      <c r="D12" s="5">
        <f t="shared" si="0"/>
        <v>99610.988359283263</v>
      </c>
      <c r="E12" s="5">
        <f t="shared" si="1"/>
        <v>49659.090604638208</v>
      </c>
      <c r="F12" s="5">
        <f t="shared" si="2"/>
        <v>26175.917432439073</v>
      </c>
      <c r="G12" s="5">
        <f t="shared" si="3"/>
        <v>14468.531199082163</v>
      </c>
      <c r="H12" s="5">
        <f t="shared" si="4"/>
        <v>8331.4128943758569</v>
      </c>
      <c r="I12" s="5">
        <f t="shared" si="5"/>
        <v>4971.5163186192467</v>
      </c>
      <c r="J12" s="5">
        <f t="shared" si="6"/>
        <v>3060.9579218596009</v>
      </c>
      <c r="K12" s="5">
        <f t="shared" si="7"/>
        <v>1937.6203619550947</v>
      </c>
      <c r="L12" s="5">
        <f t="shared" si="8"/>
        <v>1257.2450167525481</v>
      </c>
    </row>
    <row r="13" spans="2:12" x14ac:dyDescent="0.25">
      <c r="B13" s="5">
        <v>9</v>
      </c>
      <c r="C13" s="5">
        <v>213525</v>
      </c>
      <c r="D13" s="5">
        <f t="shared" si="0"/>
        <v>90555.443962984791</v>
      </c>
      <c r="E13" s="5">
        <f t="shared" si="1"/>
        <v>41382.575503865177</v>
      </c>
      <c r="F13" s="5">
        <f t="shared" si="2"/>
        <v>20135.321101876209</v>
      </c>
      <c r="G13" s="5">
        <f t="shared" si="3"/>
        <v>10334.665142201546</v>
      </c>
      <c r="H13" s="5">
        <f t="shared" si="4"/>
        <v>5554.2752629172383</v>
      </c>
      <c r="I13" s="5">
        <f t="shared" si="5"/>
        <v>3107.1976991370293</v>
      </c>
      <c r="J13" s="5">
        <f t="shared" si="6"/>
        <v>1800.5634834468242</v>
      </c>
      <c r="K13" s="5">
        <f t="shared" si="7"/>
        <v>1076.4557566417191</v>
      </c>
      <c r="L13" s="5">
        <f t="shared" si="8"/>
        <v>661.70790355397276</v>
      </c>
    </row>
    <row r="14" spans="2:12" x14ac:dyDescent="0.25">
      <c r="B14" s="5">
        <v>10</v>
      </c>
      <c r="C14" s="5">
        <v>348525</v>
      </c>
      <c r="D14" s="5">
        <f t="shared" si="0"/>
        <v>134371.47494842747</v>
      </c>
      <c r="E14" s="5">
        <f t="shared" si="1"/>
        <v>56288.733276683481</v>
      </c>
      <c r="F14" s="5">
        <f t="shared" si="2"/>
        <v>25281.35882856954</v>
      </c>
      <c r="G14" s="5">
        <f t="shared" si="3"/>
        <v>12049.071432538156</v>
      </c>
      <c r="H14" s="5">
        <f t="shared" si="4"/>
        <v>6043.9567139155615</v>
      </c>
      <c r="I14" s="5">
        <f t="shared" si="5"/>
        <v>3169.8164093540945</v>
      </c>
      <c r="J14" s="5">
        <f t="shared" si="6"/>
        <v>1728.799873463789</v>
      </c>
      <c r="K14" s="5">
        <f t="shared" si="7"/>
        <v>976.13275204192882</v>
      </c>
      <c r="L14" s="5">
        <f t="shared" si="8"/>
        <v>568.45740258726846</v>
      </c>
    </row>
    <row r="15" spans="2:12" ht="16.5" thickBot="1" x14ac:dyDescent="0.3">
      <c r="C15" s="16" t="s">
        <v>71</v>
      </c>
      <c r="D15" s="17">
        <f>SUM(D4:D14)</f>
        <v>1069067.0353185786</v>
      </c>
      <c r="E15" s="17">
        <f t="shared" ref="E15:L15" si="9">SUM(E4:E14)</f>
        <v>622000.85575735755</v>
      </c>
      <c r="F15" s="17">
        <f t="shared" si="9"/>
        <v>374913.62182231533</v>
      </c>
      <c r="G15" s="17">
        <f t="shared" si="9"/>
        <v>225024.90857703445</v>
      </c>
      <c r="H15" s="17">
        <f t="shared" si="9"/>
        <v>126985.40618808106</v>
      </c>
      <c r="I15" s="17">
        <f t="shared" si="9"/>
        <v>58866.153577458972</v>
      </c>
      <c r="J15" s="17">
        <f t="shared" si="9"/>
        <v>9192.2806113969436</v>
      </c>
      <c r="K15" s="17">
        <f t="shared" si="9"/>
        <v>-28463.186943760244</v>
      </c>
      <c r="L15" s="17">
        <f t="shared" si="9"/>
        <v>-57916.773601361587</v>
      </c>
    </row>
    <row r="16" spans="2:12" ht="16.5" thickTop="1" x14ac:dyDescent="0.25"/>
    <row r="18" spans="3:4" x14ac:dyDescent="0.25">
      <c r="C18" s="15" t="s">
        <v>72</v>
      </c>
      <c r="D18" s="15" t="s">
        <v>73</v>
      </c>
    </row>
    <row r="19" spans="3:4" x14ac:dyDescent="0.25">
      <c r="C19" s="5">
        <v>10</v>
      </c>
      <c r="D19" s="5">
        <v>1069067.0353185786</v>
      </c>
    </row>
    <row r="20" spans="3:4" x14ac:dyDescent="0.25">
      <c r="C20" s="5">
        <v>20</v>
      </c>
      <c r="D20" s="5">
        <v>622000.85575735755</v>
      </c>
    </row>
    <row r="21" spans="3:4" x14ac:dyDescent="0.25">
      <c r="C21" s="5">
        <v>30</v>
      </c>
      <c r="D21" s="5">
        <v>374913.62182231533</v>
      </c>
    </row>
    <row r="22" spans="3:4" x14ac:dyDescent="0.25">
      <c r="C22" s="5">
        <v>40</v>
      </c>
      <c r="D22" s="5">
        <v>225024.90857703445</v>
      </c>
    </row>
    <row r="23" spans="3:4" x14ac:dyDescent="0.25">
      <c r="C23" s="5">
        <v>50</v>
      </c>
      <c r="D23" s="5">
        <v>126985.40618808106</v>
      </c>
    </row>
    <row r="24" spans="3:4" x14ac:dyDescent="0.25">
      <c r="C24" s="5">
        <v>60</v>
      </c>
      <c r="D24" s="5">
        <v>58866.153577458972</v>
      </c>
    </row>
    <row r="25" spans="3:4" x14ac:dyDescent="0.25">
      <c r="C25" s="5">
        <v>70</v>
      </c>
      <c r="D25" s="5">
        <v>9192.2806113969436</v>
      </c>
    </row>
    <row r="26" spans="3:4" x14ac:dyDescent="0.25">
      <c r="C26" s="5">
        <v>80</v>
      </c>
      <c r="D26" s="5">
        <v>-28463.186943760244</v>
      </c>
    </row>
    <row r="27" spans="3:4" x14ac:dyDescent="0.25">
      <c r="C27" s="5">
        <v>90</v>
      </c>
      <c r="D27" s="5">
        <v>-57916.773601361587</v>
      </c>
    </row>
    <row r="34" spans="3:5" x14ac:dyDescent="0.25">
      <c r="C34" s="5" t="s">
        <v>82</v>
      </c>
    </row>
    <row r="35" spans="3:5" x14ac:dyDescent="0.25">
      <c r="C35" s="27" t="s">
        <v>83</v>
      </c>
    </row>
    <row r="36" spans="3:5" x14ac:dyDescent="0.25">
      <c r="C36" s="27" t="s">
        <v>84</v>
      </c>
    </row>
    <row r="39" spans="3:5" x14ac:dyDescent="0.25">
      <c r="E39" s="5" t="s">
        <v>85</v>
      </c>
    </row>
  </sheetData>
  <mergeCells count="1">
    <mergeCell ref="B2:L2"/>
  </mergeCells>
  <hyperlinks>
    <hyperlink ref="C35" r:id="rId1" location="step-1" display="https://www.shopkeep.com/blog/restaurant-startup-costs-breakdown - step-1" xr:uid="{6329F0A3-4BC0-442D-844F-4A2E978576EC}"/>
    <hyperlink ref="C36" r:id="rId2" xr:uid="{AEBAE53F-C30B-4A9B-8CB9-7F86C3844B2C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NPV, IRR &amp; Pay back</vt:lpstr>
      <vt:lpstr>Sensitivity analysis</vt:lpstr>
      <vt:lpstr>NPV Profile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UKL</dc:creator>
  <cp:lastModifiedBy>Scofied</cp:lastModifiedBy>
  <dcterms:created xsi:type="dcterms:W3CDTF">2020-05-09T10:50:16Z</dcterms:created>
  <dcterms:modified xsi:type="dcterms:W3CDTF">2020-05-09T14:52:01Z</dcterms:modified>
</cp:coreProperties>
</file>