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ocuments\"/>
    </mc:Choice>
  </mc:AlternateContent>
  <bookViews>
    <workbookView xWindow="0" yWindow="0" windowWidth="19200" windowHeight="7050" activeTab="2"/>
  </bookViews>
  <sheets>
    <sheet name="Question 1" sheetId="1" r:id="rId1"/>
    <sheet name="Question 2" sheetId="2" r:id="rId2"/>
    <sheet name="Question 3" sheetId="3"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0" i="3" l="1"/>
  <c r="C15" i="3"/>
  <c r="B15" i="3"/>
  <c r="K11" i="3"/>
  <c r="B21" i="3"/>
  <c r="K9" i="3" s="1"/>
  <c r="K10" i="3" s="1"/>
  <c r="D44" i="2"/>
  <c r="E17" i="2"/>
  <c r="F17" i="2" s="1"/>
  <c r="D18" i="2"/>
  <c r="E18" i="2"/>
  <c r="E45" i="2" s="1"/>
  <c r="E47" i="2" s="1"/>
  <c r="E48" i="2" s="1"/>
  <c r="E19" i="2"/>
  <c r="F19" i="2" s="1"/>
  <c r="D20" i="2"/>
  <c r="E20" i="2"/>
  <c r="D22" i="2"/>
  <c r="D24" i="2" s="1"/>
  <c r="D25" i="2" s="1"/>
  <c r="D26" i="2" s="1"/>
  <c r="E22" i="2"/>
  <c r="E24" i="2" s="1"/>
  <c r="F22" i="2"/>
  <c r="F46" i="2" s="1"/>
  <c r="D30" i="2"/>
  <c r="D31" i="2" s="1"/>
  <c r="E30" i="2"/>
  <c r="E31" i="2" s="1"/>
  <c r="E34" i="2" s="1"/>
  <c r="F30" i="2"/>
  <c r="F31" i="2" s="1"/>
  <c r="F34" i="2" s="1"/>
  <c r="D32" i="2"/>
  <c r="D33" i="2" s="1"/>
  <c r="E32" i="2"/>
  <c r="F32" i="2"/>
  <c r="F33" i="2" s="1"/>
  <c r="E33" i="2"/>
  <c r="E44" i="2"/>
  <c r="D45" i="2"/>
  <c r="D47" i="2" s="1"/>
  <c r="D48" i="2" s="1"/>
  <c r="D46" i="2"/>
  <c r="E46" i="2"/>
  <c r="C51" i="2"/>
  <c r="C52" i="2"/>
  <c r="C12" i="2"/>
  <c r="C11" i="2"/>
  <c r="D41" i="1"/>
  <c r="D34" i="1"/>
  <c r="D35" i="1"/>
  <c r="D36" i="1"/>
  <c r="D37" i="1"/>
  <c r="D38" i="1"/>
  <c r="D39" i="1"/>
  <c r="D33" i="1"/>
  <c r="C33" i="1"/>
  <c r="C34" i="1"/>
  <c r="C35" i="1" s="1"/>
  <c r="C36" i="1" s="1"/>
  <c r="C37" i="1" s="1"/>
  <c r="C38" i="1" s="1"/>
  <c r="C39" i="1" s="1"/>
  <c r="E27" i="1"/>
  <c r="D24" i="1"/>
  <c r="G29" i="1"/>
  <c r="D25" i="1"/>
  <c r="D26" i="1"/>
  <c r="E26" i="1" s="1"/>
  <c r="G26" i="1" s="1"/>
  <c r="D27" i="1"/>
  <c r="D28" i="1"/>
  <c r="E30" i="1" s="1"/>
  <c r="G30" i="1" s="1"/>
  <c r="D29" i="1"/>
  <c r="E24" i="1"/>
  <c r="G24" i="1" s="1"/>
  <c r="E7" i="1"/>
  <c r="F7" i="1" s="1"/>
  <c r="K12" i="3" l="1"/>
  <c r="K13" i="3" s="1"/>
  <c r="K14" i="3" s="1"/>
  <c r="K15" i="3" s="1"/>
  <c r="K16" i="3" s="1"/>
  <c r="D34" i="2"/>
  <c r="D51" i="2" s="1"/>
  <c r="D52" i="2" s="1"/>
  <c r="E25" i="2"/>
  <c r="E26" i="2" s="1"/>
  <c r="E51" i="2" s="1"/>
  <c r="E52" i="2" s="1"/>
  <c r="F18" i="2"/>
  <c r="F20" i="2" s="1"/>
  <c r="F45" i="2"/>
  <c r="F47" i="2" s="1"/>
  <c r="F44" i="2"/>
  <c r="F24" i="2"/>
  <c r="E25" i="1"/>
  <c r="G25" i="1" s="1"/>
  <c r="G27" i="1"/>
  <c r="E28" i="1"/>
  <c r="G28" i="1" s="1"/>
  <c r="E8" i="1"/>
  <c r="F48" i="2" l="1"/>
  <c r="F25" i="2"/>
  <c r="F26" i="2" s="1"/>
  <c r="F51" i="2" s="1"/>
  <c r="F52" i="2" s="1"/>
  <c r="C56" i="2" s="1"/>
  <c r="F8" i="1"/>
  <c r="E9" i="1"/>
  <c r="C54" i="2" l="1"/>
  <c r="E10" i="1"/>
  <c r="F9" i="1"/>
  <c r="F10" i="1" l="1"/>
  <c r="E11" i="1"/>
  <c r="F11" i="1" l="1"/>
  <c r="F14" i="1" s="1"/>
  <c r="E12" i="1"/>
  <c r="F12" i="1" s="1"/>
</calcChain>
</file>

<file path=xl/sharedStrings.xml><?xml version="1.0" encoding="utf-8"?>
<sst xmlns="http://schemas.openxmlformats.org/spreadsheetml/2006/main" count="102" uniqueCount="94">
  <si>
    <r>
      <rPr>
        <b/>
        <sz val="11"/>
        <color theme="1"/>
        <rFont val="Calibri"/>
        <family val="2"/>
        <scheme val="minor"/>
      </rPr>
      <t>1 a.)   The project will have an initial outlay of $450,000.  The firm uses a cost of capital of 11%.  What is the NPV of the project without consideration of working capital?</t>
    </r>
    <r>
      <rPr>
        <sz val="11"/>
        <color theme="1"/>
        <rFont val="Calibri"/>
        <family val="2"/>
        <scheme val="minor"/>
      </rPr>
      <t xml:space="preserve">  </t>
    </r>
  </si>
  <si>
    <t>Year</t>
  </si>
  <si>
    <t>Cashflow</t>
  </si>
  <si>
    <t>Discounting Factor [1/1.11^period]</t>
  </si>
  <si>
    <t>Present value of cashflows (Cash flow*discounting factor</t>
  </si>
  <si>
    <t>NPV = sum of PV</t>
  </si>
  <si>
    <t>1 b.) Now consider, the government agency is expected to be a slow pay with an A/R of 175 days.  What is the revised NPV of the project?</t>
  </si>
  <si>
    <t>It is assumed that Working Capital will be infused as and when required and will be withdrawn at the END.</t>
  </si>
  <si>
    <t>Revenue</t>
  </si>
  <si>
    <t>Column1</t>
  </si>
  <si>
    <t>Column2</t>
  </si>
  <si>
    <t>Working capital cash flow [Previous amount, refunded last year</t>
  </si>
  <si>
    <t>Original cash flow</t>
  </si>
  <si>
    <t>Net cash flow (revenue + WC cash flow</t>
  </si>
  <si>
    <t>Amount (revenue*175/365</t>
  </si>
  <si>
    <t xml:space="preserve">Working capital required </t>
  </si>
  <si>
    <t>Column3</t>
  </si>
  <si>
    <t>Column4</t>
  </si>
  <si>
    <t>Column5</t>
  </si>
  <si>
    <t>Column6</t>
  </si>
  <si>
    <t>Cash flow</t>
  </si>
  <si>
    <t>NPV = Sum of PV</t>
  </si>
  <si>
    <t>2. Calculate project’s NPV and IRR.</t>
  </si>
  <si>
    <t>We need to find incremental cash flow for the new machine compared to the old machine.</t>
  </si>
  <si>
    <t>Step 1:</t>
  </si>
  <si>
    <t>Initial investment</t>
  </si>
  <si>
    <t>Cost of New Machine</t>
  </si>
  <si>
    <t>Before tax cashflow of old machine</t>
  </si>
  <si>
    <t>Depreciation for 3 years (150,000-5000)/10 *3</t>
  </si>
  <si>
    <t xml:space="preserve"> = 43,500</t>
  </si>
  <si>
    <t>Current book value (150,000 - 43, 500</t>
  </si>
  <si>
    <t>Tax saving for lose on sale</t>
  </si>
  <si>
    <t>Cash flow for initial investment (year 0)</t>
  </si>
  <si>
    <t>Step 2:</t>
  </si>
  <si>
    <t>Incremental Annual cash flow</t>
  </si>
  <si>
    <t>Revenue from New machine</t>
  </si>
  <si>
    <t>Gross profit from New machine (23 %)</t>
  </si>
  <si>
    <t>Cash operating expenses</t>
  </si>
  <si>
    <t>Cash inflow from new Machine</t>
  </si>
  <si>
    <t>Revenue from old machine</t>
  </si>
  <si>
    <t>Gross profit from old machine</t>
  </si>
  <si>
    <t>Cash inflow from old machine</t>
  </si>
  <si>
    <t>Before tax annual savings</t>
  </si>
  <si>
    <t>After tax annual savings</t>
  </si>
  <si>
    <t>Step 3:</t>
  </si>
  <si>
    <t>Depreciation tax shield</t>
  </si>
  <si>
    <t>Depreciation of new machine</t>
  </si>
  <si>
    <t>Depreciation of old machine</t>
  </si>
  <si>
    <t>Loss of depreciation tax shield on old machine</t>
  </si>
  <si>
    <t>Net Cash flow flow from depreciartion taxh shield</t>
  </si>
  <si>
    <t xml:space="preserve">Step 4: </t>
  </si>
  <si>
    <t>Terminal cash flow</t>
  </si>
  <si>
    <t>Terminal cash flow from new machine</t>
  </si>
  <si>
    <t>Terminal cash flow from old machine</t>
  </si>
  <si>
    <t>Net terminal cash flow</t>
  </si>
  <si>
    <t>Step 5:</t>
  </si>
  <si>
    <t>Cash flow due to Working Capital</t>
  </si>
  <si>
    <t>Accounts receivable increase due to new machine</t>
  </si>
  <si>
    <t>Average accounts payable for old machine</t>
  </si>
  <si>
    <t>Average accounts payable for new machine</t>
  </si>
  <si>
    <t>Increase in working capital due to new machine</t>
  </si>
  <si>
    <t>Net increase in working capital</t>
  </si>
  <si>
    <t>Cash flow due to working capital</t>
  </si>
  <si>
    <t>Total cash flow</t>
  </si>
  <si>
    <t>Present value of cash flow</t>
  </si>
  <si>
    <t>NPV</t>
  </si>
  <si>
    <t>IRR</t>
  </si>
  <si>
    <t>3. The equity value of Wister Mfg. Inc. at 12/31/2017</t>
  </si>
  <si>
    <t>Enterprise value is the present value of cash of expected cash flows @WACC</t>
  </si>
  <si>
    <t>Equity value = Enterprise value - Net Debt</t>
  </si>
  <si>
    <t>WACC</t>
  </si>
  <si>
    <t>Tax rate</t>
  </si>
  <si>
    <t>Growth</t>
  </si>
  <si>
    <t>Period Ending</t>
  </si>
  <si>
    <t>Cash and cash equivalents</t>
  </si>
  <si>
    <t>Net debt</t>
  </si>
  <si>
    <t>TOTAL CURRENT LIABILITIES</t>
  </si>
  <si>
    <t>TOTAL CURRENT ASSETS</t>
  </si>
  <si>
    <t>Net income from I/S</t>
  </si>
  <si>
    <t>Total debt (LT+ST</t>
  </si>
  <si>
    <t>Interest Espense from I/S</t>
  </si>
  <si>
    <t>Depreciation expense</t>
  </si>
  <si>
    <t>From Balance sheet:</t>
  </si>
  <si>
    <t>Net income</t>
  </si>
  <si>
    <t>EBIAT</t>
  </si>
  <si>
    <t>int(1-Tc)</t>
  </si>
  <si>
    <t>depreciation</t>
  </si>
  <si>
    <t>(Changes in Noncash working capital)</t>
  </si>
  <si>
    <t>Noncash working capital</t>
  </si>
  <si>
    <t>Sum of earnings before interest and after tax</t>
  </si>
  <si>
    <t>FCCF (1)</t>
  </si>
  <si>
    <t>Enterprise value</t>
  </si>
  <si>
    <t>Equity Value</t>
  </si>
  <si>
    <r>
      <rPr>
        <b/>
        <sz val="11"/>
        <color theme="1"/>
        <rFont val="Calibri"/>
        <family val="2"/>
        <scheme val="minor"/>
      </rPr>
      <t>Assumptions and Conclusions in the Calculation of Equity Value at Wister Mfg. Inc</t>
    </r>
    <r>
      <rPr>
        <sz val="11"/>
        <color theme="1"/>
        <rFont val="Calibri"/>
        <family val="2"/>
        <scheme val="minor"/>
      </rPr>
      <t xml:space="preserve">
In calculating the Equity value of Wister Mfg. Inc. at 12/31/2017, the assumption is that cash flow grows at 3 percent forever. This growth rate can never be higher than the expected growth rate of the economy. If you assume that the growth rate is greater than that of the economy, then you are insinuating that the firm would become larger than the economy at some point. While overall growth rate of the economy is generally 2-3 %, the expected revenue growth is 3 %. Therefore, it is feasible to assume that the cash flows would grow by 3 %. There is also the assumption that the firm will continue to be in business for the foreseeable future. If there is bearish stand on this and the company could close in the near future, the equity value of the company would then be done using the liquidation assumption. Also, when calculating the equity value of Wister Mfg. Inc, I Assumed that the dividend payout ratio will not affect the firm’s cash flows and growth rate.
The equity value of Wister Mfg. Inc at 12/29/2017 is $32,970,457.83. This value would not have significantly changed at 12/31/2017 and therefore is presumed to be the same value at that date. The firm does not have short term debt and therefore only the long term debts affect its enterprise value. Besides, the weighted cost of capital has a significant reduction of the firm’s value when it is used to calculate the equity value.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</si>
</sst>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quot;$&quot;#,##0.00"/>
  </numFmts>
  <fonts count="4" x14ac:knownFonts="1">
    <font>
      <sz val="11"/>
      <color theme="1"/>
      <name val="Calibri"/>
      <family val="2"/>
      <scheme val="minor"/>
    </font>
    <font>
      <b/>
      <sz val="11"/>
      <color theme="1"/>
      <name val="Calibri"/>
      <family val="2"/>
      <scheme val="minor"/>
    </font>
    <font>
      <sz val="9"/>
      <name val="Palatino Linotype"/>
      <family val="1"/>
    </font>
    <font>
      <sz val="11"/>
      <name val="Calibri"/>
      <family val="2"/>
      <scheme val="minor"/>
    </font>
  </fonts>
  <fills count="4">
    <fill>
      <patternFill patternType="none"/>
    </fill>
    <fill>
      <patternFill patternType="gray125"/>
    </fill>
    <fill>
      <patternFill patternType="solid">
        <fgColor theme="7"/>
        <bgColor indexed="64"/>
      </patternFill>
    </fill>
    <fill>
      <patternFill patternType="solid">
        <fgColor theme="0" tint="-0.14999847407452621"/>
        <bgColor indexed="64"/>
      </patternFill>
    </fill>
  </fills>
  <borders count="5">
    <border>
      <left/>
      <right/>
      <top/>
      <bottom/>
      <diagonal/>
    </border>
    <border>
      <left style="thin">
        <color theme="6"/>
      </left>
      <right style="thin">
        <color theme="6"/>
      </right>
      <top style="thin">
        <color theme="6"/>
      </top>
      <bottom style="medium">
        <color theme="6"/>
      </bottom>
      <diagonal/>
    </border>
    <border>
      <left style="thick">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6">
    <xf numFmtId="0" fontId="0" fillId="0" borderId="0" xfId="0"/>
    <xf numFmtId="0" fontId="0" fillId="0" borderId="0" xfId="0" applyAlignment="1">
      <alignment wrapText="1"/>
    </xf>
    <xf numFmtId="0" fontId="0" fillId="0" borderId="0" xfId="0" applyAlignment="1"/>
    <xf numFmtId="168" fontId="0" fillId="0" borderId="0" xfId="0" applyNumberFormat="1"/>
    <xf numFmtId="0" fontId="1" fillId="0" borderId="0" xfId="0" applyFont="1"/>
    <xf numFmtId="168" fontId="1" fillId="0" borderId="0" xfId="0" applyNumberFormat="1" applyFont="1"/>
    <xf numFmtId="0" fontId="1" fillId="0" borderId="0" xfId="0" applyFont="1" applyAlignment="1">
      <alignment wrapText="1"/>
    </xf>
    <xf numFmtId="0" fontId="1" fillId="0" borderId="0" xfId="0" applyFont="1" applyAlignment="1"/>
    <xf numFmtId="0" fontId="0" fillId="0" borderId="0" xfId="0" applyAlignment="1">
      <alignment wrapText="1"/>
    </xf>
    <xf numFmtId="0" fontId="1" fillId="0" borderId="0" xfId="0" applyFont="1" applyAlignment="1">
      <alignment wrapText="1"/>
    </xf>
    <xf numFmtId="0" fontId="1" fillId="0" borderId="0" xfId="0" applyFont="1" applyAlignment="1">
      <alignment horizontal="center" wrapText="1"/>
    </xf>
    <xf numFmtId="0" fontId="1" fillId="0" borderId="0" xfId="0" applyFont="1" applyAlignment="1">
      <alignment horizontal="center" vertical="center" wrapText="1"/>
    </xf>
    <xf numFmtId="0" fontId="0" fillId="0" borderId="0" xfId="0" applyAlignment="1"/>
    <xf numFmtId="0" fontId="1" fillId="0" borderId="0" xfId="0" applyFont="1" applyAlignment="1">
      <alignment shrinkToFit="1"/>
    </xf>
    <xf numFmtId="0" fontId="1" fillId="0" borderId="0" xfId="0" applyFont="1" applyAlignment="1">
      <alignment horizontal="center" vertical="center"/>
    </xf>
    <xf numFmtId="0" fontId="0" fillId="0" borderId="0" xfId="0" applyAlignment="1">
      <alignment horizontal="center"/>
    </xf>
    <xf numFmtId="168" fontId="0" fillId="0" borderId="0" xfId="0" applyNumberFormat="1" applyAlignment="1">
      <alignment horizontal="center"/>
    </xf>
    <xf numFmtId="0" fontId="0" fillId="0" borderId="0" xfId="0" applyNumberFormat="1" applyAlignment="1">
      <alignment horizontal="center"/>
    </xf>
    <xf numFmtId="0" fontId="0" fillId="0" borderId="0" xfId="0" applyAlignment="1">
      <alignment horizontal="center" vertical="center"/>
    </xf>
    <xf numFmtId="0" fontId="1" fillId="0" borderId="1" xfId="0" applyFont="1" applyBorder="1" applyAlignment="1">
      <alignment horizontal="center" vertical="center" wrapText="1"/>
    </xf>
    <xf numFmtId="168" fontId="0" fillId="0" borderId="0" xfId="0" applyNumberFormat="1" applyAlignment="1">
      <alignment horizontal="center" vertical="center"/>
    </xf>
    <xf numFmtId="168" fontId="1" fillId="0" borderId="0" xfId="0" applyNumberFormat="1" applyFont="1" applyAlignment="1">
      <alignment horizontal="center" vertical="center"/>
    </xf>
    <xf numFmtId="0" fontId="0" fillId="0" borderId="0" xfId="0" applyAlignment="1">
      <alignment wrapText="1" shrinkToFit="1"/>
    </xf>
    <xf numFmtId="0" fontId="1" fillId="0" borderId="0" xfId="0" applyFont="1" applyAlignment="1">
      <alignment horizontal="center" vertical="center" wrapText="1" shrinkToFit="1"/>
    </xf>
    <xf numFmtId="0" fontId="0" fillId="0" borderId="0" xfId="0" applyAlignment="1">
      <alignment horizontal="center" vertical="center" wrapText="1"/>
    </xf>
    <xf numFmtId="3" fontId="0" fillId="0" borderId="0" xfId="0" applyNumberFormat="1" applyAlignment="1">
      <alignment horizontal="center" vertical="center"/>
    </xf>
    <xf numFmtId="0" fontId="1" fillId="0" borderId="0" xfId="0" applyFont="1" applyAlignment="1">
      <alignment horizontal="center" vertical="center" wrapText="1" shrinkToFit="1"/>
    </xf>
    <xf numFmtId="0" fontId="0" fillId="0" borderId="0" xfId="0" applyAlignment="1">
      <alignment horizontal="center" vertical="center" wrapText="1" shrinkToFit="1"/>
    </xf>
    <xf numFmtId="9" fontId="1" fillId="0" borderId="0" xfId="0" applyNumberFormat="1" applyFont="1" applyAlignment="1">
      <alignment horizontal="center" vertical="center"/>
    </xf>
    <xf numFmtId="0" fontId="2" fillId="0" borderId="0" xfId="0" applyFont="1"/>
    <xf numFmtId="10" fontId="2" fillId="0" borderId="2" xfId="0" applyNumberFormat="1" applyFont="1" applyBorder="1"/>
    <xf numFmtId="0" fontId="0" fillId="2" borderId="3" xfId="0" applyFill="1" applyBorder="1"/>
    <xf numFmtId="9" fontId="0" fillId="2" borderId="3" xfId="0" applyNumberFormat="1" applyFill="1" applyBorder="1"/>
    <xf numFmtId="0" fontId="0" fillId="2" borderId="3" xfId="0" applyFont="1" applyFill="1" applyBorder="1" applyAlignment="1">
      <alignment vertical="center"/>
    </xf>
    <xf numFmtId="0" fontId="0" fillId="2" borderId="3" xfId="0" applyFont="1" applyFill="1" applyBorder="1"/>
    <xf numFmtId="168" fontId="3" fillId="0" borderId="4" xfId="0" applyNumberFormat="1" applyFont="1" applyBorder="1"/>
    <xf numFmtId="0" fontId="0" fillId="2" borderId="3" xfId="0" applyFill="1" applyBorder="1" applyAlignment="1">
      <alignment wrapText="1"/>
    </xf>
    <xf numFmtId="168" fontId="0" fillId="2" borderId="3" xfId="0" applyNumberFormat="1" applyFill="1" applyBorder="1"/>
    <xf numFmtId="0" fontId="1" fillId="3" borderId="3" xfId="0" applyFont="1" applyFill="1" applyBorder="1" applyAlignment="1">
      <alignment wrapText="1"/>
    </xf>
    <xf numFmtId="168" fontId="1" fillId="3" borderId="3" xfId="0" applyNumberFormat="1" applyFont="1" applyFill="1" applyBorder="1"/>
    <xf numFmtId="0" fontId="1" fillId="0" borderId="0" xfId="0" applyFont="1" applyAlignment="1">
      <alignment horizontal="center" vertical="center"/>
    </xf>
    <xf numFmtId="14" fontId="1" fillId="0" borderId="0" xfId="0" applyNumberFormat="1" applyFont="1"/>
    <xf numFmtId="0" fontId="0" fillId="0" borderId="0" xfId="0" applyFont="1" applyAlignment="1">
      <alignment vertical="center"/>
    </xf>
    <xf numFmtId="9" fontId="0" fillId="2" borderId="3" xfId="0" applyNumberFormat="1" applyFont="1" applyFill="1" applyBorder="1" applyAlignment="1">
      <alignment vertical="center"/>
    </xf>
    <xf numFmtId="0" fontId="0" fillId="0" borderId="0" xfId="0" applyFont="1" applyAlignment="1">
      <alignment vertical="center"/>
    </xf>
    <xf numFmtId="168" fontId="0" fillId="0" borderId="0" xfId="0" applyNumberFormat="1" applyAlignment="1">
      <alignment wrapText="1"/>
    </xf>
  </cellXfs>
  <cellStyles count="1">
    <cellStyle name="Normal" xfId="0" builtinId="0"/>
  </cellStyles>
  <dxfs count="15">
    <dxf>
      <numFmt numFmtId="168" formatCode="&quot;$&quot;#,##0.00"/>
      <alignment horizontal="center" vertical="center" textRotation="0" wrapText="0" indent="0" justifyLastLine="0" shrinkToFit="0" readingOrder="0"/>
    </dxf>
    <dxf>
      <alignment horizontal="center" vertical="center" textRotation="0" wrapText="0" indent="0" justifyLastLine="0" shrinkToFit="0" readingOrder="0"/>
    </dxf>
    <dxf>
      <numFmt numFmtId="168" formatCode="&quot;$&quot;#,##0.00"/>
      <alignment horizontal="center" vertical="center" textRotation="0" wrapText="0" indent="0" justifyLastLine="0" shrinkToFit="0" readingOrder="0"/>
    </dxf>
    <dxf>
      <alignment horizontal="center" vertical="center" textRotation="0" wrapText="0" indent="0" justifyLastLine="0" shrinkToFit="0" readingOrder="0"/>
    </dxf>
    <dxf>
      <numFmt numFmtId="168" formatCode="&quot;$&quot;#,##0.00"/>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numFmt numFmtId="0" formatCode="General"/>
      <alignment horizontal="center" textRotation="0" indent="0" justifyLastLine="0" shrinkToFit="0" readingOrder="0"/>
    </dxf>
    <dxf>
      <numFmt numFmtId="168" formatCode="&quot;$&quot;#,##0.00"/>
      <alignment horizontal="center" textRotation="0" indent="0" justifyLastLine="0" shrinkToFit="0" readingOrder="0"/>
    </dxf>
    <dxf>
      <numFmt numFmtId="168" formatCode="&quot;$&quot;#,##0.00"/>
      <alignment horizontal="center" textRotation="0" indent="0" justifyLastLine="0" shrinkToFit="0" readingOrder="0"/>
    </dxf>
    <dxf>
      <numFmt numFmtId="168" formatCode="&quot;$&quot;#,##0.00"/>
      <alignment horizontal="center" textRotation="0" indent="0" justifyLastLine="0" shrinkToFit="0" readingOrder="0"/>
    </dxf>
    <dxf>
      <alignment horizontal="center" textRotation="0"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0" indent="0" justifyLastLine="0" shrinkToFit="0" readingOrder="0"/>
    </dxf>
    <dxf>
      <numFmt numFmtId="168" formatCode="&quot;$&quot;#,##0.00"/>
    </dxf>
    <dxf>
      <numFmt numFmtId="168" formatCode="&quot;$&quot;#,##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C4:F14" totalsRowShown="0" headerRowDxfId="12">
  <autoFilter ref="C4:F14"/>
  <tableColumns count="4">
    <tableColumn id="1" name="Year"/>
    <tableColumn id="2" name="Cashflow" dataDxfId="14"/>
    <tableColumn id="3" name="Discounting Factor [1/1.11^period]"/>
    <tableColumn id="4" name="Present value of cashflows (Cash flow*discounting factor" dataDxfId="13"/>
  </tableColumns>
  <tableStyleInfo name="TableStyleLight18" showFirstColumn="0" showLastColumn="0" showRowStripes="1" showColumnStripes="0"/>
</table>
</file>

<file path=xl/tables/table2.xml><?xml version="1.0" encoding="utf-8"?>
<table xmlns="http://schemas.openxmlformats.org/spreadsheetml/2006/main" id="2" name="Table2" displayName="Table2" ref="A22:G30" totalsRowShown="0" dataDxfId="6">
  <autoFilter ref="A22:G30"/>
  <tableColumns count="7">
    <tableColumn id="1" name="Column1" dataDxfId="5"/>
    <tableColumn id="2" name="Column2" dataDxfId="4"/>
    <tableColumn id="3" name="Working capital required " dataDxfId="11"/>
    <tableColumn id="4" name="Column3" dataDxfId="10"/>
    <tableColumn id="5" name="Column4" dataDxfId="9"/>
    <tableColumn id="6" name="Column5" dataDxfId="8"/>
    <tableColumn id="7" name="Column6" dataDxfId="7">
      <calculatedColumnFormula>F23+E23</calculatedColumnFormula>
    </tableColumn>
  </tableColumns>
  <tableStyleInfo name="TableStyleLight18" showFirstColumn="0" showLastColumn="0" showRowStripes="1" showColumnStripes="0"/>
</table>
</file>

<file path=xl/tables/table3.xml><?xml version="1.0" encoding="utf-8"?>
<table xmlns="http://schemas.openxmlformats.org/spreadsheetml/2006/main" id="3" name="Table3" displayName="Table3" ref="A32:D41" totalsRowShown="0">
  <autoFilter ref="A32:D41"/>
  <tableColumns count="4">
    <tableColumn id="1" name="Year" dataDxfId="3"/>
    <tableColumn id="2" name="Cash flow" dataDxfId="2"/>
    <tableColumn id="3" name="Discounting Factor [1/1.11^period]" dataDxfId="1"/>
    <tableColumn id="4" name="Present value of cashflows (Cash flow*discounting factor"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topLeftCell="A34" workbookViewId="0">
      <selection activeCell="C17" sqref="C17:H18"/>
    </sheetView>
  </sheetViews>
  <sheetFormatPr defaultRowHeight="14.5" x14ac:dyDescent="0.35"/>
  <cols>
    <col min="1" max="1" width="10.26953125" customWidth="1"/>
    <col min="2" max="2" width="11.453125" bestFit="1" customWidth="1"/>
    <col min="3" max="3" width="31.90625" customWidth="1"/>
    <col min="4" max="4" width="46.7265625" customWidth="1"/>
    <col min="5" max="5" width="31.90625" customWidth="1"/>
    <col min="6" max="6" width="47.81640625" customWidth="1"/>
    <col min="7" max="8" width="10.26953125" customWidth="1"/>
  </cols>
  <sheetData>
    <row r="1" spans="3:18" x14ac:dyDescent="0.35">
      <c r="C1" s="1" t="s">
        <v>0</v>
      </c>
      <c r="D1" s="1"/>
      <c r="E1" s="1"/>
      <c r="F1" s="1"/>
      <c r="G1" s="1"/>
      <c r="H1" s="1"/>
      <c r="I1" s="1"/>
      <c r="J1" s="1"/>
      <c r="K1" s="1"/>
      <c r="L1" s="1"/>
      <c r="M1" s="1"/>
      <c r="N1" s="1"/>
      <c r="O1" s="1"/>
      <c r="P1" s="1"/>
      <c r="Q1" s="1"/>
      <c r="R1" s="1"/>
    </row>
    <row r="2" spans="3:18" x14ac:dyDescent="0.35">
      <c r="C2" s="1"/>
      <c r="D2" s="1"/>
      <c r="E2" s="1"/>
      <c r="F2" s="1"/>
      <c r="G2" s="1"/>
      <c r="H2" s="1"/>
      <c r="I2" s="1"/>
      <c r="J2" s="1"/>
      <c r="K2" s="1"/>
      <c r="L2" s="1"/>
      <c r="M2" s="1"/>
      <c r="N2" s="1"/>
      <c r="O2" s="1"/>
      <c r="P2" s="1"/>
      <c r="Q2" s="1"/>
      <c r="R2" s="1"/>
    </row>
    <row r="4" spans="3:18" x14ac:dyDescent="0.35">
      <c r="C4" s="7" t="s">
        <v>1</v>
      </c>
      <c r="D4" s="7" t="s">
        <v>2</v>
      </c>
      <c r="E4" s="7" t="s">
        <v>3</v>
      </c>
      <c r="F4" s="7" t="s">
        <v>4</v>
      </c>
    </row>
    <row r="5" spans="3:18" x14ac:dyDescent="0.35">
      <c r="C5" s="7"/>
      <c r="D5" s="7"/>
      <c r="E5" s="7"/>
      <c r="F5" s="7"/>
    </row>
    <row r="6" spans="3:18" x14ac:dyDescent="0.35">
      <c r="C6">
        <v>0</v>
      </c>
      <c r="D6" s="3">
        <v>-450000</v>
      </c>
      <c r="E6">
        <v>1</v>
      </c>
      <c r="F6" s="3">
        <v>-450000</v>
      </c>
    </row>
    <row r="7" spans="3:18" x14ac:dyDescent="0.35">
      <c r="C7">
        <v>1</v>
      </c>
      <c r="D7" s="3">
        <v>120000</v>
      </c>
      <c r="E7">
        <f>1/1.11</f>
        <v>0.9009009009009008</v>
      </c>
      <c r="F7" s="3">
        <f>D7*E7</f>
        <v>108108.10810810809</v>
      </c>
    </row>
    <row r="8" spans="3:18" x14ac:dyDescent="0.35">
      <c r="C8">
        <v>2</v>
      </c>
      <c r="D8" s="3">
        <v>130000</v>
      </c>
      <c r="E8">
        <f xml:space="preserve"> E7/1.11</f>
        <v>0.8116224332440547</v>
      </c>
      <c r="F8" s="3">
        <f t="shared" ref="F8:F11" si="0">D8*E8</f>
        <v>105510.91632172711</v>
      </c>
    </row>
    <row r="9" spans="3:18" x14ac:dyDescent="0.35">
      <c r="C9">
        <v>3</v>
      </c>
      <c r="D9" s="3">
        <v>135000</v>
      </c>
      <c r="E9">
        <f>E8/1.11</f>
        <v>0.73119138130095007</v>
      </c>
      <c r="F9" s="3">
        <f t="shared" si="0"/>
        <v>98710.836475628254</v>
      </c>
    </row>
    <row r="10" spans="3:18" x14ac:dyDescent="0.35">
      <c r="C10">
        <v>4</v>
      </c>
      <c r="D10" s="3">
        <v>140000</v>
      </c>
      <c r="E10">
        <f>E9/1.11</f>
        <v>0.65873097414500004</v>
      </c>
      <c r="F10" s="3">
        <f t="shared" si="0"/>
        <v>92222.33638030001</v>
      </c>
    </row>
    <row r="11" spans="3:18" x14ac:dyDescent="0.35">
      <c r="C11">
        <v>5</v>
      </c>
      <c r="D11" s="3">
        <v>140000</v>
      </c>
      <c r="E11">
        <f>E10/1.11</f>
        <v>0.59345132805855849</v>
      </c>
      <c r="F11" s="3">
        <f t="shared" si="0"/>
        <v>83083.185928198189</v>
      </c>
    </row>
    <row r="12" spans="3:18" x14ac:dyDescent="0.35">
      <c r="C12">
        <v>6</v>
      </c>
      <c r="D12" s="3">
        <v>130000</v>
      </c>
      <c r="E12">
        <f>E11/1.11</f>
        <v>0.53464083608879143</v>
      </c>
      <c r="F12" s="3">
        <f>D12*E12</f>
        <v>69503.308691542887</v>
      </c>
    </row>
    <row r="14" spans="3:18" x14ac:dyDescent="0.35">
      <c r="E14" s="4" t="s">
        <v>5</v>
      </c>
      <c r="F14" s="5">
        <f>SUM(F6:F12)</f>
        <v>107138.69190550454</v>
      </c>
    </row>
    <row r="17" spans="1:10" x14ac:dyDescent="0.35">
      <c r="A17" s="12"/>
      <c r="B17" s="12"/>
      <c r="C17" s="6" t="s">
        <v>6</v>
      </c>
      <c r="D17" s="6"/>
      <c r="E17" s="6"/>
      <c r="F17" s="6"/>
      <c r="G17" s="6"/>
      <c r="H17" s="6"/>
    </row>
    <row r="18" spans="1:10" x14ac:dyDescent="0.35">
      <c r="A18" s="12"/>
      <c r="B18" s="12"/>
      <c r="C18" s="6"/>
      <c r="D18" s="6"/>
      <c r="E18" s="6"/>
      <c r="F18" s="6"/>
      <c r="G18" s="6"/>
      <c r="H18" s="6"/>
    </row>
    <row r="20" spans="1:10" x14ac:dyDescent="0.35">
      <c r="C20" s="1" t="s">
        <v>7</v>
      </c>
      <c r="D20" s="1"/>
      <c r="E20" s="1"/>
      <c r="F20" s="1"/>
    </row>
    <row r="22" spans="1:10" x14ac:dyDescent="0.35">
      <c r="A22" t="s">
        <v>9</v>
      </c>
      <c r="B22" t="s">
        <v>10</v>
      </c>
      <c r="C22" s="13" t="s">
        <v>15</v>
      </c>
      <c r="D22" s="13" t="s">
        <v>16</v>
      </c>
      <c r="E22" t="s">
        <v>17</v>
      </c>
      <c r="F22" t="s">
        <v>18</v>
      </c>
      <c r="G22" t="s">
        <v>19</v>
      </c>
    </row>
    <row r="23" spans="1:10" ht="72.5" x14ac:dyDescent="0.35">
      <c r="A23" s="14" t="s">
        <v>1</v>
      </c>
      <c r="B23" s="14" t="s">
        <v>8</v>
      </c>
      <c r="C23" s="14" t="s">
        <v>1</v>
      </c>
      <c r="D23" s="11" t="s">
        <v>14</v>
      </c>
      <c r="E23" s="11" t="s">
        <v>11</v>
      </c>
      <c r="F23" s="11" t="s">
        <v>12</v>
      </c>
      <c r="G23" s="10" t="s">
        <v>13</v>
      </c>
      <c r="H23" s="8"/>
      <c r="I23" s="4"/>
      <c r="J23" s="4"/>
    </row>
    <row r="24" spans="1:10" x14ac:dyDescent="0.35">
      <c r="A24" s="15">
        <v>1</v>
      </c>
      <c r="B24" s="16">
        <v>120000</v>
      </c>
      <c r="C24" s="15">
        <v>0</v>
      </c>
      <c r="D24" s="16">
        <f>B24*175/365</f>
        <v>57534.246575342462</v>
      </c>
      <c r="E24" s="16">
        <f>-D24</f>
        <v>-57534.246575342462</v>
      </c>
      <c r="F24" s="16">
        <v>-450000</v>
      </c>
      <c r="G24" s="17">
        <f>F24+E24</f>
        <v>-507534.24657534249</v>
      </c>
    </row>
    <row r="25" spans="1:10" x14ac:dyDescent="0.35">
      <c r="A25" s="15">
        <v>2</v>
      </c>
      <c r="B25" s="16">
        <v>130000</v>
      </c>
      <c r="C25" s="15">
        <v>1</v>
      </c>
      <c r="D25" s="16">
        <f>B25*175/365</f>
        <v>62328.767123287675</v>
      </c>
      <c r="E25" s="16">
        <f>-(D25-D24)</f>
        <v>-4794.5205479452125</v>
      </c>
      <c r="F25" s="16">
        <v>120000</v>
      </c>
      <c r="G25" s="17">
        <f t="shared" ref="G25:G30" si="1">F25+E25</f>
        <v>115205.47945205479</v>
      </c>
    </row>
    <row r="26" spans="1:10" x14ac:dyDescent="0.35">
      <c r="A26" s="15">
        <v>3</v>
      </c>
      <c r="B26" s="16">
        <v>135000</v>
      </c>
      <c r="C26" s="15">
        <v>2</v>
      </c>
      <c r="D26" s="16">
        <f>B26*175/365</f>
        <v>64726.027397260274</v>
      </c>
      <c r="E26" s="16">
        <f>-(D26-D25)</f>
        <v>-2397.260273972599</v>
      </c>
      <c r="F26" s="16">
        <v>130000</v>
      </c>
      <c r="G26" s="17">
        <f t="shared" si="1"/>
        <v>127602.7397260274</v>
      </c>
    </row>
    <row r="27" spans="1:10" x14ac:dyDescent="0.35">
      <c r="A27" s="15">
        <v>4</v>
      </c>
      <c r="B27" s="16">
        <v>140000</v>
      </c>
      <c r="C27" s="15">
        <v>3</v>
      </c>
      <c r="D27" s="16">
        <f>B27*175/365</f>
        <v>67123.287671232873</v>
      </c>
      <c r="E27" s="16">
        <f>-(D27-D26)</f>
        <v>-2397.260273972599</v>
      </c>
      <c r="F27" s="16">
        <v>135000</v>
      </c>
      <c r="G27" s="17">
        <f>F27+E27</f>
        <v>132602.73972602742</v>
      </c>
    </row>
    <row r="28" spans="1:10" x14ac:dyDescent="0.35">
      <c r="A28" s="15">
        <v>5</v>
      </c>
      <c r="B28" s="16">
        <v>140000</v>
      </c>
      <c r="C28" s="15">
        <v>4</v>
      </c>
      <c r="D28" s="16">
        <f>B28*175/365</f>
        <v>67123.287671232873</v>
      </c>
      <c r="E28" s="16">
        <f t="shared" ref="E28" si="2">D28-D27</f>
        <v>0</v>
      </c>
      <c r="F28" s="16">
        <v>140000</v>
      </c>
      <c r="G28" s="17">
        <f t="shared" si="1"/>
        <v>140000</v>
      </c>
    </row>
    <row r="29" spans="1:10" x14ac:dyDescent="0.35">
      <c r="A29" s="15">
        <v>6</v>
      </c>
      <c r="B29" s="16">
        <v>130000</v>
      </c>
      <c r="C29" s="15">
        <v>5</v>
      </c>
      <c r="D29" s="16">
        <f>B29*175/365</f>
        <v>62328.767123287675</v>
      </c>
      <c r="E29" s="16">
        <v>0</v>
      </c>
      <c r="F29" s="16">
        <v>140000</v>
      </c>
      <c r="G29" s="17">
        <f t="shared" si="1"/>
        <v>140000</v>
      </c>
    </row>
    <row r="30" spans="1:10" x14ac:dyDescent="0.35">
      <c r="A30" s="15"/>
      <c r="B30" s="15"/>
      <c r="C30" s="15">
        <v>6</v>
      </c>
      <c r="D30" s="15">
        <v>0</v>
      </c>
      <c r="E30" s="16">
        <f>D28</f>
        <v>67123.287671232873</v>
      </c>
      <c r="F30" s="16">
        <v>130000</v>
      </c>
      <c r="G30" s="17">
        <f t="shared" si="1"/>
        <v>197123.28767123289</v>
      </c>
    </row>
    <row r="32" spans="1:10" ht="87.5" thickBot="1" x14ac:dyDescent="0.4">
      <c r="A32" s="14" t="s">
        <v>1</v>
      </c>
      <c r="B32" s="14" t="s">
        <v>20</v>
      </c>
      <c r="C32" s="19" t="s">
        <v>3</v>
      </c>
      <c r="D32" s="19" t="s">
        <v>4</v>
      </c>
    </row>
    <row r="33" spans="1:4" x14ac:dyDescent="0.35">
      <c r="A33" s="18">
        <v>0</v>
      </c>
      <c r="B33" s="20">
        <v>-507534.24657534249</v>
      </c>
      <c r="C33" s="18">
        <f>1</f>
        <v>1</v>
      </c>
      <c r="D33" s="20">
        <f>B33*C33</f>
        <v>-507534.24657534249</v>
      </c>
    </row>
    <row r="34" spans="1:4" x14ac:dyDescent="0.35">
      <c r="A34" s="18">
        <v>1</v>
      </c>
      <c r="B34" s="20">
        <v>115205.47945205479</v>
      </c>
      <c r="C34" s="18">
        <f>C33/1.11</f>
        <v>0.9009009009009008</v>
      </c>
      <c r="D34" s="20">
        <f t="shared" ref="D34:D39" si="3">B34*C34</f>
        <v>103788.72022707638</v>
      </c>
    </row>
    <row r="35" spans="1:4" x14ac:dyDescent="0.35">
      <c r="A35" s="18">
        <v>2</v>
      </c>
      <c r="B35" s="20">
        <v>127602.7397260274</v>
      </c>
      <c r="C35" s="18">
        <f>C34/1.11</f>
        <v>0.8116224332440547</v>
      </c>
      <c r="D35" s="20">
        <f t="shared" si="3"/>
        <v>103565.24610504616</v>
      </c>
    </row>
    <row r="36" spans="1:4" x14ac:dyDescent="0.35">
      <c r="A36" s="18">
        <v>3</v>
      </c>
      <c r="B36" s="20">
        <v>132602.73972602742</v>
      </c>
      <c r="C36" s="18">
        <f>C35/1.11</f>
        <v>0.73119138130095007</v>
      </c>
      <c r="D36" s="20">
        <f t="shared" si="3"/>
        <v>96957.980424564346</v>
      </c>
    </row>
    <row r="37" spans="1:4" x14ac:dyDescent="0.35">
      <c r="A37" s="18">
        <v>4</v>
      </c>
      <c r="B37" s="20">
        <v>140000</v>
      </c>
      <c r="C37" s="18">
        <f>C36/1.11</f>
        <v>0.65873097414500004</v>
      </c>
      <c r="D37" s="20">
        <f t="shared" si="3"/>
        <v>92222.33638030001</v>
      </c>
    </row>
    <row r="38" spans="1:4" x14ac:dyDescent="0.35">
      <c r="A38" s="18">
        <v>5</v>
      </c>
      <c r="B38" s="20">
        <v>140000</v>
      </c>
      <c r="C38" s="18">
        <f>C37/1.11</f>
        <v>0.59345132805855849</v>
      </c>
      <c r="D38" s="20">
        <f t="shared" si="3"/>
        <v>83083.185928198189</v>
      </c>
    </row>
    <row r="39" spans="1:4" x14ac:dyDescent="0.35">
      <c r="A39" s="18">
        <v>6</v>
      </c>
      <c r="B39" s="20">
        <v>197123.28767123289</v>
      </c>
      <c r="C39" s="18">
        <f>C38/1.11</f>
        <v>0.53464083608879143</v>
      </c>
      <c r="D39" s="20">
        <f t="shared" si="3"/>
        <v>105390.1593331193</v>
      </c>
    </row>
    <row r="40" spans="1:4" x14ac:dyDescent="0.35">
      <c r="A40" s="18"/>
      <c r="B40" s="18"/>
      <c r="C40" s="18"/>
      <c r="D40" s="20"/>
    </row>
    <row r="41" spans="1:4" x14ac:dyDescent="0.35">
      <c r="A41" s="18"/>
      <c r="B41" s="18"/>
      <c r="C41" s="14" t="s">
        <v>21</v>
      </c>
      <c r="D41" s="21">
        <f>SUM(D33:D39)</f>
        <v>77473.381822961906</v>
      </c>
    </row>
  </sheetData>
  <mergeCells count="3">
    <mergeCell ref="C17:H18"/>
    <mergeCell ref="C20:F20"/>
    <mergeCell ref="C1:R2"/>
  </mergeCells>
  <pageMargins left="0.7" right="0.7" top="0.75" bottom="0.75" header="0.3" footer="0.3"/>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topLeftCell="A4" workbookViewId="0">
      <selection activeCell="C8" sqref="C8"/>
    </sheetView>
  </sheetViews>
  <sheetFormatPr defaultRowHeight="14.5" x14ac:dyDescent="0.35"/>
  <sheetData>
    <row r="1" spans="1:9" x14ac:dyDescent="0.35">
      <c r="A1" s="6" t="s">
        <v>22</v>
      </c>
      <c r="B1" s="6"/>
      <c r="C1" s="6"/>
      <c r="D1" s="6"/>
    </row>
    <row r="2" spans="1:9" x14ac:dyDescent="0.35">
      <c r="A2" s="6"/>
      <c r="B2" s="6"/>
      <c r="C2" s="6"/>
      <c r="D2" s="6"/>
    </row>
    <row r="4" spans="1:9" x14ac:dyDescent="0.35">
      <c r="A4" s="2" t="s">
        <v>23</v>
      </c>
      <c r="B4" s="2"/>
      <c r="C4" s="2"/>
      <c r="D4" s="2"/>
      <c r="E4" s="2"/>
      <c r="F4" s="2"/>
      <c r="G4" s="2"/>
      <c r="H4" s="2"/>
      <c r="I4" s="2"/>
    </row>
    <row r="5" spans="1:9" x14ac:dyDescent="0.35">
      <c r="A5" s="4" t="s">
        <v>24</v>
      </c>
    </row>
    <row r="6" spans="1:9" x14ac:dyDescent="0.35">
      <c r="B6" s="14" t="s">
        <v>25</v>
      </c>
      <c r="C6" s="18"/>
      <c r="D6" s="18"/>
      <c r="E6" s="18"/>
    </row>
    <row r="7" spans="1:9" ht="43.5" x14ac:dyDescent="0.35">
      <c r="B7" s="24" t="s">
        <v>26</v>
      </c>
      <c r="C7" s="25">
        <v>225000</v>
      </c>
      <c r="D7" s="18"/>
      <c r="E7" s="18"/>
    </row>
    <row r="8" spans="1:9" ht="72.5" x14ac:dyDescent="0.35">
      <c r="B8" s="24" t="s">
        <v>27</v>
      </c>
      <c r="C8" s="25">
        <v>55000</v>
      </c>
      <c r="D8" s="18"/>
      <c r="E8" s="18"/>
    </row>
    <row r="9" spans="1:9" ht="87" x14ac:dyDescent="0.35">
      <c r="B9" s="24" t="s">
        <v>28</v>
      </c>
      <c r="C9" s="18" t="s">
        <v>29</v>
      </c>
      <c r="D9" s="18"/>
      <c r="E9" s="18"/>
    </row>
    <row r="10" spans="1:9" ht="72.5" x14ac:dyDescent="0.35">
      <c r="B10" s="24" t="s">
        <v>30</v>
      </c>
      <c r="C10" s="25">
        <v>106500</v>
      </c>
      <c r="D10" s="18"/>
      <c r="E10" s="18"/>
    </row>
    <row r="11" spans="1:9" ht="58" x14ac:dyDescent="0.35">
      <c r="B11" s="24" t="s">
        <v>31</v>
      </c>
      <c r="C11" s="25">
        <f>(106500-55000)*0.34</f>
        <v>17510</v>
      </c>
      <c r="D11" s="18"/>
      <c r="E11" s="18"/>
    </row>
    <row r="12" spans="1:9" ht="87" x14ac:dyDescent="0.35">
      <c r="B12" s="24" t="s">
        <v>32</v>
      </c>
      <c r="C12" s="18">
        <f>-(225000-55000-17510)</f>
        <v>-152490</v>
      </c>
      <c r="D12" s="18"/>
      <c r="E12" s="18"/>
    </row>
    <row r="13" spans="1:9" x14ac:dyDescent="0.35">
      <c r="B13" s="18"/>
      <c r="C13" s="18"/>
      <c r="D13" s="18"/>
      <c r="E13" s="18"/>
    </row>
    <row r="14" spans="1:9" x14ac:dyDescent="0.35">
      <c r="A14" s="4" t="s">
        <v>33</v>
      </c>
      <c r="B14" s="18"/>
      <c r="C14" s="18"/>
      <c r="D14" s="18"/>
      <c r="E14" s="18"/>
    </row>
    <row r="15" spans="1:9" x14ac:dyDescent="0.35">
      <c r="B15" s="26" t="s">
        <v>34</v>
      </c>
      <c r="C15" s="26"/>
      <c r="D15" s="26"/>
      <c r="E15" s="27"/>
      <c r="F15" s="22"/>
    </row>
    <row r="16" spans="1:9" x14ac:dyDescent="0.35">
      <c r="B16" s="23" t="s">
        <v>1</v>
      </c>
      <c r="C16" s="23">
        <v>0</v>
      </c>
      <c r="D16" s="23">
        <v>1</v>
      </c>
      <c r="E16" s="23">
        <v>2</v>
      </c>
      <c r="F16" s="23">
        <v>3</v>
      </c>
    </row>
    <row r="17" spans="1:6" ht="58" x14ac:dyDescent="0.35">
      <c r="B17" s="27" t="s">
        <v>35</v>
      </c>
      <c r="C17" s="27"/>
      <c r="D17" s="27">
        <v>1075000</v>
      </c>
      <c r="E17" s="27">
        <f>D17</f>
        <v>1075000</v>
      </c>
      <c r="F17" s="27">
        <f>E17</f>
        <v>1075000</v>
      </c>
    </row>
    <row r="18" spans="1:6" ht="87" x14ac:dyDescent="0.35">
      <c r="B18" s="27" t="s">
        <v>36</v>
      </c>
      <c r="C18" s="27"/>
      <c r="D18" s="27">
        <f>0.23*D17</f>
        <v>247250</v>
      </c>
      <c r="E18" s="27">
        <f t="shared" ref="E18:F18" si="0">0.23*E17</f>
        <v>247250</v>
      </c>
      <c r="F18" s="27">
        <f t="shared" si="0"/>
        <v>247250</v>
      </c>
    </row>
    <row r="19" spans="1:6" ht="58" x14ac:dyDescent="0.35">
      <c r="B19" s="27" t="s">
        <v>37</v>
      </c>
      <c r="C19" s="27"/>
      <c r="D19" s="27">
        <v>65000</v>
      </c>
      <c r="E19" s="27">
        <f>D19</f>
        <v>65000</v>
      </c>
      <c r="F19" s="27">
        <f>E19</f>
        <v>65000</v>
      </c>
    </row>
    <row r="20" spans="1:6" ht="72.5" x14ac:dyDescent="0.35">
      <c r="B20" s="27" t="s">
        <v>38</v>
      </c>
      <c r="C20" s="27"/>
      <c r="D20" s="27">
        <f>D18-D19</f>
        <v>182250</v>
      </c>
      <c r="E20" s="27">
        <f>E18-E19</f>
        <v>182250</v>
      </c>
      <c r="F20" s="27">
        <f t="shared" ref="F20" si="1">F18-F19</f>
        <v>182250</v>
      </c>
    </row>
    <row r="21" spans="1:6" ht="43.5" x14ac:dyDescent="0.35">
      <c r="B21" s="27" t="s">
        <v>39</v>
      </c>
      <c r="C21" s="27"/>
      <c r="D21" s="27">
        <v>1000000</v>
      </c>
      <c r="E21" s="27">
        <v>1000000</v>
      </c>
      <c r="F21" s="27">
        <v>1000000</v>
      </c>
    </row>
    <row r="22" spans="1:6" ht="58" x14ac:dyDescent="0.35">
      <c r="B22" s="27" t="s">
        <v>40</v>
      </c>
      <c r="C22" s="27"/>
      <c r="D22" s="27">
        <f>0.2*D21</f>
        <v>200000</v>
      </c>
      <c r="E22" s="27">
        <f t="shared" ref="E22:F22" si="2">0.2*E21</f>
        <v>200000</v>
      </c>
      <c r="F22" s="27">
        <f t="shared" si="2"/>
        <v>200000</v>
      </c>
    </row>
    <row r="23" spans="1:6" ht="58" x14ac:dyDescent="0.35">
      <c r="B23" s="27" t="s">
        <v>37</v>
      </c>
      <c r="C23" s="27"/>
      <c r="D23" s="27">
        <v>54000</v>
      </c>
      <c r="E23" s="27">
        <v>54000</v>
      </c>
      <c r="F23" s="27">
        <v>54000</v>
      </c>
    </row>
    <row r="24" spans="1:6" ht="58" x14ac:dyDescent="0.35">
      <c r="B24" s="27" t="s">
        <v>41</v>
      </c>
      <c r="C24" s="27"/>
      <c r="D24" s="27">
        <f>D22-D23</f>
        <v>146000</v>
      </c>
      <c r="E24" s="27">
        <f t="shared" ref="E24:F24" si="3">E22-E23</f>
        <v>146000</v>
      </c>
      <c r="F24" s="27">
        <f t="shared" si="3"/>
        <v>146000</v>
      </c>
    </row>
    <row r="25" spans="1:6" ht="58" x14ac:dyDescent="0.35">
      <c r="B25" s="27" t="s">
        <v>42</v>
      </c>
      <c r="C25" s="27"/>
      <c r="D25" s="27">
        <f>D20-D24</f>
        <v>36250</v>
      </c>
      <c r="E25" s="27">
        <f t="shared" ref="E25:F25" si="4">E20-E24</f>
        <v>36250</v>
      </c>
      <c r="F25" s="27">
        <f t="shared" si="4"/>
        <v>36250</v>
      </c>
    </row>
    <row r="26" spans="1:6" ht="43.5" x14ac:dyDescent="0.35">
      <c r="B26" s="27" t="s">
        <v>43</v>
      </c>
      <c r="C26" s="27"/>
      <c r="D26" s="27">
        <f>D25*(1-0.34)</f>
        <v>23924.999999999996</v>
      </c>
      <c r="E26" s="27">
        <f t="shared" ref="E26:F26" si="5">E25*(1-0.34)</f>
        <v>23924.999999999996</v>
      </c>
      <c r="F26" s="27">
        <f t="shared" si="5"/>
        <v>23924.999999999996</v>
      </c>
    </row>
    <row r="27" spans="1:6" x14ac:dyDescent="0.35">
      <c r="B27" s="27"/>
      <c r="C27" s="27"/>
      <c r="D27" s="27"/>
      <c r="E27" s="27"/>
      <c r="F27" s="27"/>
    </row>
    <row r="28" spans="1:6" x14ac:dyDescent="0.35">
      <c r="A28" s="4" t="s">
        <v>44</v>
      </c>
      <c r="B28" s="27"/>
      <c r="C28" s="27"/>
      <c r="D28" s="27"/>
      <c r="E28" s="27"/>
      <c r="F28" s="27"/>
    </row>
    <row r="29" spans="1:6" x14ac:dyDescent="0.35">
      <c r="B29" s="26" t="s">
        <v>45</v>
      </c>
      <c r="C29" s="26"/>
      <c r="D29" s="26"/>
      <c r="E29" s="27"/>
      <c r="F29" s="27"/>
    </row>
    <row r="30" spans="1:6" ht="58" x14ac:dyDescent="0.35">
      <c r="B30" s="27" t="s">
        <v>46</v>
      </c>
      <c r="C30" s="27"/>
      <c r="D30" s="27">
        <f>225000/7</f>
        <v>32142.857142857141</v>
      </c>
      <c r="E30" s="27">
        <f t="shared" ref="E30:F30" si="6">225000/7</f>
        <v>32142.857142857141</v>
      </c>
      <c r="F30" s="27">
        <f t="shared" si="6"/>
        <v>32142.857142857141</v>
      </c>
    </row>
    <row r="31" spans="1:6" ht="43.5" x14ac:dyDescent="0.35">
      <c r="B31" s="27" t="s">
        <v>45</v>
      </c>
      <c r="C31" s="27"/>
      <c r="D31" s="27">
        <f>0.34*D30</f>
        <v>10928.571428571429</v>
      </c>
      <c r="E31" s="27">
        <f t="shared" ref="E31:F31" si="7">0.34*E30</f>
        <v>10928.571428571429</v>
      </c>
      <c r="F31" s="27">
        <f t="shared" si="7"/>
        <v>10928.571428571429</v>
      </c>
    </row>
    <row r="32" spans="1:6" ht="58" x14ac:dyDescent="0.35">
      <c r="B32" s="27" t="s">
        <v>47</v>
      </c>
      <c r="C32" s="27"/>
      <c r="D32" s="27">
        <f>(106500-7500)/7</f>
        <v>14142.857142857143</v>
      </c>
      <c r="E32" s="27">
        <f t="shared" ref="E32:F32" si="8">(106500-7500)/7</f>
        <v>14142.857142857143</v>
      </c>
      <c r="F32" s="27">
        <f t="shared" si="8"/>
        <v>14142.857142857143</v>
      </c>
    </row>
    <row r="33" spans="1:6" ht="87" x14ac:dyDescent="0.35">
      <c r="B33" s="27" t="s">
        <v>48</v>
      </c>
      <c r="C33" s="27"/>
      <c r="D33" s="27">
        <f>0.34*D32</f>
        <v>4808.5714285714294</v>
      </c>
      <c r="E33" s="27">
        <f t="shared" ref="E33:F33" si="9">0.34*E32</f>
        <v>4808.5714285714294</v>
      </c>
      <c r="F33" s="27">
        <f t="shared" si="9"/>
        <v>4808.5714285714294</v>
      </c>
    </row>
    <row r="34" spans="1:6" ht="87" x14ac:dyDescent="0.35">
      <c r="B34" s="27" t="s">
        <v>49</v>
      </c>
      <c r="C34" s="27"/>
      <c r="D34" s="27">
        <f>D31-D33</f>
        <v>6120</v>
      </c>
      <c r="E34" s="27">
        <f t="shared" ref="E34:F34" si="10">E31-E33</f>
        <v>6120</v>
      </c>
      <c r="F34" s="27">
        <f t="shared" si="10"/>
        <v>6120</v>
      </c>
    </row>
    <row r="35" spans="1:6" x14ac:dyDescent="0.35">
      <c r="B35" s="27"/>
      <c r="C35" s="27"/>
      <c r="D35" s="27"/>
      <c r="E35" s="27"/>
      <c r="F35" s="27"/>
    </row>
    <row r="36" spans="1:6" x14ac:dyDescent="0.35">
      <c r="A36" s="4" t="s">
        <v>50</v>
      </c>
      <c r="B36" s="27"/>
      <c r="C36" s="27"/>
      <c r="D36" s="27"/>
      <c r="E36" s="27"/>
      <c r="F36" s="27"/>
    </row>
    <row r="37" spans="1:6" x14ac:dyDescent="0.35">
      <c r="B37" s="26" t="s">
        <v>51</v>
      </c>
      <c r="C37" s="26"/>
      <c r="D37" s="26"/>
      <c r="E37" s="27"/>
      <c r="F37" s="27"/>
    </row>
    <row r="38" spans="1:6" ht="72.5" x14ac:dyDescent="0.35">
      <c r="B38" s="27" t="s">
        <v>52</v>
      </c>
      <c r="C38" s="27"/>
      <c r="D38" s="27"/>
      <c r="E38" s="27"/>
      <c r="F38" s="27"/>
    </row>
    <row r="39" spans="1:6" ht="58" x14ac:dyDescent="0.35">
      <c r="B39" s="27" t="s">
        <v>53</v>
      </c>
      <c r="C39" s="27"/>
      <c r="D39" s="27"/>
      <c r="E39" s="27"/>
      <c r="F39" s="27"/>
    </row>
    <row r="40" spans="1:6" ht="43.5" x14ac:dyDescent="0.35">
      <c r="B40" s="27" t="s">
        <v>54</v>
      </c>
      <c r="C40" s="27"/>
      <c r="D40" s="27"/>
      <c r="E40" s="27"/>
      <c r="F40" s="27"/>
    </row>
    <row r="41" spans="1:6" x14ac:dyDescent="0.35">
      <c r="B41" s="27"/>
      <c r="C41" s="27"/>
      <c r="D41" s="27"/>
      <c r="E41" s="27"/>
      <c r="F41" s="27"/>
    </row>
    <row r="42" spans="1:6" x14ac:dyDescent="0.35">
      <c r="A42" s="4" t="s">
        <v>55</v>
      </c>
      <c r="B42" s="27"/>
      <c r="C42" s="27"/>
      <c r="D42" s="27"/>
      <c r="E42" s="27"/>
      <c r="F42" s="27"/>
    </row>
    <row r="43" spans="1:6" x14ac:dyDescent="0.35">
      <c r="B43" s="26" t="s">
        <v>56</v>
      </c>
      <c r="C43" s="26"/>
      <c r="D43" s="26"/>
      <c r="E43" s="27"/>
      <c r="F43" s="27"/>
    </row>
    <row r="44" spans="1:6" ht="101.5" x14ac:dyDescent="0.35">
      <c r="B44" s="27" t="s">
        <v>57</v>
      </c>
      <c r="C44" s="27"/>
      <c r="D44" s="27">
        <f>(63/365)*(D17-D21)</f>
        <v>12945.205479452055</v>
      </c>
      <c r="E44" s="27">
        <f t="shared" ref="E44:F44" si="11">(63/365)*(E17-E21)</f>
        <v>12945.205479452055</v>
      </c>
      <c r="F44" s="27">
        <f t="shared" si="11"/>
        <v>12945.205479452055</v>
      </c>
    </row>
    <row r="45" spans="1:6" ht="72.5" x14ac:dyDescent="0.35">
      <c r="B45" s="27" t="s">
        <v>59</v>
      </c>
      <c r="C45" s="27"/>
      <c r="D45" s="27">
        <f>(25/365)*(D17-D18)</f>
        <v>56695.205479452052</v>
      </c>
      <c r="E45" s="27">
        <f t="shared" ref="E45:F45" si="12">(25/365)*(E17-E18)</f>
        <v>56695.205479452052</v>
      </c>
      <c r="F45" s="27">
        <f t="shared" si="12"/>
        <v>56695.205479452052</v>
      </c>
    </row>
    <row r="46" spans="1:6" ht="72.5" x14ac:dyDescent="0.35">
      <c r="B46" s="27" t="s">
        <v>58</v>
      </c>
      <c r="C46" s="27"/>
      <c r="D46" s="27">
        <f>(25/365)*(D21-D22)</f>
        <v>54794.520547945205</v>
      </c>
      <c r="E46" s="27">
        <f t="shared" ref="E46:F46" si="13">(25/365)*(E21-E22)</f>
        <v>54794.520547945205</v>
      </c>
      <c r="F46" s="27">
        <f t="shared" si="13"/>
        <v>54794.520547945205</v>
      </c>
    </row>
    <row r="47" spans="1:6" ht="101.5" x14ac:dyDescent="0.35">
      <c r="B47" s="27" t="s">
        <v>60</v>
      </c>
      <c r="C47" s="27"/>
      <c r="D47" s="27">
        <f>D45-D46</f>
        <v>1900.6849315068466</v>
      </c>
      <c r="E47" s="27">
        <f t="shared" ref="E47:F47" si="14">E45-E46</f>
        <v>1900.6849315068466</v>
      </c>
      <c r="F47" s="27">
        <f t="shared" si="14"/>
        <v>1900.6849315068466</v>
      </c>
    </row>
    <row r="48" spans="1:6" ht="72.5" x14ac:dyDescent="0.35">
      <c r="B48" s="27" t="s">
        <v>61</v>
      </c>
      <c r="C48" s="27"/>
      <c r="D48" s="27">
        <f>D44-D47</f>
        <v>11044.520547945209</v>
      </c>
      <c r="E48" s="27">
        <f t="shared" ref="E48:F48" si="15">E44-E47</f>
        <v>11044.520547945209</v>
      </c>
      <c r="F48" s="27">
        <f t="shared" si="15"/>
        <v>11044.520547945209</v>
      </c>
    </row>
    <row r="49" spans="2:6" ht="72.5" x14ac:dyDescent="0.35">
      <c r="B49" s="27" t="s">
        <v>62</v>
      </c>
      <c r="C49" s="27">
        <v>-11045</v>
      </c>
      <c r="D49" s="27"/>
      <c r="E49" s="27"/>
      <c r="F49" s="27">
        <v>-1798</v>
      </c>
    </row>
    <row r="50" spans="2:6" x14ac:dyDescent="0.35">
      <c r="B50" s="27"/>
      <c r="C50" s="27"/>
      <c r="D50" s="27"/>
      <c r="E50" s="27"/>
      <c r="F50" s="27"/>
    </row>
    <row r="51" spans="2:6" ht="29" x14ac:dyDescent="0.35">
      <c r="B51" s="27" t="s">
        <v>63</v>
      </c>
      <c r="C51" s="27">
        <f>C12+C49</f>
        <v>-163535</v>
      </c>
      <c r="D51" s="27">
        <f>D26+D34</f>
        <v>30044.999999999996</v>
      </c>
      <c r="E51" s="27">
        <f>E26+E34</f>
        <v>30044.999999999996</v>
      </c>
      <c r="F51" s="27">
        <f>F26+F34+F49</f>
        <v>28246.999999999996</v>
      </c>
    </row>
    <row r="52" spans="2:6" ht="43.5" x14ac:dyDescent="0.35">
      <c r="B52" s="27" t="s">
        <v>64</v>
      </c>
      <c r="C52" s="27">
        <f>C51</f>
        <v>-163535</v>
      </c>
      <c r="D52" s="27">
        <f>D51/1.12</f>
        <v>26825.892857142851</v>
      </c>
      <c r="E52" s="27">
        <f>E51/1.12^2</f>
        <v>23951.690051020403</v>
      </c>
      <c r="F52" s="27">
        <f>F51/1.12^3</f>
        <v>20105.656659985416</v>
      </c>
    </row>
    <row r="53" spans="2:6" x14ac:dyDescent="0.35">
      <c r="B53" s="18"/>
      <c r="C53" s="18"/>
      <c r="D53" s="18"/>
      <c r="E53" s="18"/>
    </row>
    <row r="54" spans="2:6" x14ac:dyDescent="0.35">
      <c r="B54" s="14" t="s">
        <v>65</v>
      </c>
      <c r="C54" s="14">
        <f>SUM(C52:F52)</f>
        <v>-92651.760431851348</v>
      </c>
      <c r="D54" s="18"/>
      <c r="E54" s="18"/>
    </row>
    <row r="55" spans="2:6" x14ac:dyDescent="0.35">
      <c r="B55" s="18"/>
      <c r="C55" s="18"/>
      <c r="D55" s="18"/>
      <c r="E55" s="18"/>
    </row>
    <row r="56" spans="2:6" x14ac:dyDescent="0.35">
      <c r="B56" s="14" t="s">
        <v>66</v>
      </c>
      <c r="C56" s="28">
        <f>IRR(C52:F52)</f>
        <v>-0.33624686047339214</v>
      </c>
      <c r="D56" s="18"/>
      <c r="E56" s="18"/>
    </row>
    <row r="57" spans="2:6" x14ac:dyDescent="0.35">
      <c r="B57" s="18"/>
      <c r="C57" s="18"/>
      <c r="D57" s="18"/>
      <c r="E57" s="18"/>
    </row>
    <row r="58" spans="2:6" x14ac:dyDescent="0.35">
      <c r="B58" s="18"/>
      <c r="C58" s="18"/>
      <c r="D58" s="18"/>
      <c r="E58" s="18"/>
    </row>
  </sheetData>
  <mergeCells count="6">
    <mergeCell ref="A1:D2"/>
    <mergeCell ref="A4:I4"/>
    <mergeCell ref="B29:D29"/>
    <mergeCell ref="B15:D15"/>
    <mergeCell ref="B37:D37"/>
    <mergeCell ref="B43:D4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tabSelected="1" topLeftCell="A22" workbookViewId="0">
      <selection activeCell="D19" sqref="D19"/>
    </sheetView>
  </sheetViews>
  <sheetFormatPr defaultRowHeight="14.5" x14ac:dyDescent="0.35"/>
  <cols>
    <col min="2" max="2" width="13.08984375" bestFit="1" customWidth="1"/>
    <col min="3" max="3" width="12.26953125" bestFit="1" customWidth="1"/>
    <col min="11" max="11" width="13.36328125" bestFit="1" customWidth="1"/>
  </cols>
  <sheetData>
    <row r="1" spans="1:13" x14ac:dyDescent="0.35">
      <c r="A1" s="6" t="s">
        <v>67</v>
      </c>
      <c r="B1" s="6"/>
      <c r="C1" s="6"/>
      <c r="D1" s="6"/>
      <c r="E1" s="6"/>
    </row>
    <row r="2" spans="1:13" x14ac:dyDescent="0.35">
      <c r="A2" s="6"/>
      <c r="B2" s="6"/>
      <c r="C2" s="6"/>
      <c r="D2" s="6"/>
      <c r="E2" s="6"/>
    </row>
    <row r="3" spans="1:13" x14ac:dyDescent="0.35">
      <c r="A3" s="42" t="s">
        <v>69</v>
      </c>
      <c r="B3" s="42"/>
      <c r="C3" s="42"/>
      <c r="D3" s="42"/>
      <c r="E3" s="42"/>
      <c r="F3" s="42"/>
      <c r="G3" s="42"/>
      <c r="H3" s="42"/>
      <c r="I3" s="42"/>
      <c r="J3" s="42"/>
      <c r="K3" s="42"/>
      <c r="L3" s="42"/>
      <c r="M3" s="42"/>
    </row>
    <row r="4" spans="1:13" x14ac:dyDescent="0.35">
      <c r="A4" s="42"/>
      <c r="B4" s="42"/>
      <c r="C4" s="42"/>
      <c r="D4" s="42"/>
      <c r="E4" s="42"/>
      <c r="F4" s="42"/>
      <c r="G4" s="42"/>
      <c r="H4" s="42"/>
      <c r="I4" s="42"/>
      <c r="J4" s="42"/>
      <c r="K4" s="42"/>
      <c r="L4" s="42"/>
      <c r="M4" s="42"/>
    </row>
    <row r="5" spans="1:13" x14ac:dyDescent="0.35">
      <c r="A5" s="42" t="s">
        <v>68</v>
      </c>
      <c r="B5" s="42"/>
      <c r="C5" s="42"/>
      <c r="D5" s="42"/>
      <c r="E5" s="42"/>
      <c r="F5" s="42"/>
      <c r="G5" s="42"/>
      <c r="H5" s="42"/>
      <c r="I5" s="42"/>
      <c r="J5" s="33" t="s">
        <v>70</v>
      </c>
      <c r="K5" s="43">
        <v>0.12</v>
      </c>
      <c r="L5" s="44"/>
      <c r="M5" s="44"/>
    </row>
    <row r="6" spans="1:13" x14ac:dyDescent="0.35">
      <c r="A6" s="29"/>
      <c r="J6" s="34" t="s">
        <v>71</v>
      </c>
      <c r="K6" s="32">
        <v>0.25</v>
      </c>
    </row>
    <row r="7" spans="1:13" x14ac:dyDescent="0.35">
      <c r="A7" s="29"/>
      <c r="B7" s="30"/>
      <c r="J7" s="34" t="s">
        <v>72</v>
      </c>
      <c r="K7" s="32">
        <v>0.03</v>
      </c>
    </row>
    <row r="8" spans="1:13" ht="29" x14ac:dyDescent="0.35">
      <c r="A8" s="9" t="s">
        <v>73</v>
      </c>
      <c r="B8" s="41">
        <v>43098</v>
      </c>
      <c r="C8" s="41">
        <v>42733</v>
      </c>
      <c r="J8" s="36" t="s">
        <v>83</v>
      </c>
      <c r="K8" s="37">
        <v>2274092</v>
      </c>
    </row>
    <row r="9" spans="1:13" ht="43.5" x14ac:dyDescent="0.35">
      <c r="A9" s="8" t="s">
        <v>78</v>
      </c>
      <c r="B9" s="3">
        <v>2274092</v>
      </c>
      <c r="J9" s="36" t="s">
        <v>85</v>
      </c>
      <c r="K9" s="37">
        <f xml:space="preserve"> B21*(1-K6)</f>
        <v>146095.5</v>
      </c>
    </row>
    <row r="10" spans="1:13" x14ac:dyDescent="0.35">
      <c r="J10" s="31" t="s">
        <v>84</v>
      </c>
      <c r="K10" s="37">
        <f>K8+K9</f>
        <v>2420187.5</v>
      </c>
    </row>
    <row r="11" spans="1:13" x14ac:dyDescent="0.35">
      <c r="J11" s="31" t="s">
        <v>86</v>
      </c>
      <c r="K11" s="37">
        <f>B22</f>
        <v>1014451</v>
      </c>
    </row>
    <row r="12" spans="1:13" ht="72.5" x14ac:dyDescent="0.35">
      <c r="A12" s="40" t="s">
        <v>82</v>
      </c>
      <c r="B12" s="40"/>
      <c r="J12" s="36" t="s">
        <v>87</v>
      </c>
      <c r="K12" s="37">
        <f>-(B15-C15)</f>
        <v>-36402</v>
      </c>
    </row>
    <row r="13" spans="1:13" ht="87" x14ac:dyDescent="0.35">
      <c r="A13" s="9" t="s">
        <v>77</v>
      </c>
      <c r="B13" s="45">
        <v>3831466</v>
      </c>
      <c r="C13" s="3">
        <v>4128020</v>
      </c>
      <c r="J13" s="36" t="s">
        <v>89</v>
      </c>
      <c r="K13" s="37">
        <f>SUM(K10:K12)</f>
        <v>3398236.5</v>
      </c>
    </row>
    <row r="14" spans="1:13" ht="58" x14ac:dyDescent="0.35">
      <c r="A14" s="9" t="s">
        <v>76</v>
      </c>
      <c r="B14" s="3">
        <v>1488472</v>
      </c>
      <c r="C14" s="3">
        <v>1821428</v>
      </c>
      <c r="J14" s="36" t="s">
        <v>90</v>
      </c>
      <c r="K14" s="37">
        <f>K13*(1+K7)</f>
        <v>3500183.5950000002</v>
      </c>
    </row>
    <row r="15" spans="1:13" ht="43.5" x14ac:dyDescent="0.35">
      <c r="A15" s="9" t="s">
        <v>88</v>
      </c>
      <c r="B15" s="3">
        <f>B13-B14</f>
        <v>2342994</v>
      </c>
      <c r="C15" s="3">
        <f>C13-C14</f>
        <v>2306592</v>
      </c>
      <c r="J15" s="36" t="s">
        <v>91</v>
      </c>
      <c r="K15" s="37">
        <f>K14/(K5-K7)</f>
        <v>38890928.833333336</v>
      </c>
    </row>
    <row r="16" spans="1:13" ht="29" x14ac:dyDescent="0.35">
      <c r="A16" s="4"/>
      <c r="J16" s="38" t="s">
        <v>92</v>
      </c>
      <c r="K16" s="39">
        <f>K15-B20</f>
        <v>32970457.833333336</v>
      </c>
    </row>
    <row r="17" spans="1:11" x14ac:dyDescent="0.35">
      <c r="A17" s="4"/>
    </row>
    <row r="18" spans="1:11" ht="58" x14ac:dyDescent="0.35">
      <c r="A18" s="9" t="s">
        <v>74</v>
      </c>
      <c r="B18" s="3">
        <v>394387</v>
      </c>
    </row>
    <row r="19" spans="1:11" ht="43.5" x14ac:dyDescent="0.35">
      <c r="A19" s="9" t="s">
        <v>79</v>
      </c>
      <c r="B19" s="35">
        <v>6314858</v>
      </c>
    </row>
    <row r="20" spans="1:11" x14ac:dyDescent="0.35">
      <c r="A20" s="9" t="s">
        <v>75</v>
      </c>
      <c r="B20" s="3">
        <f>-(B18-B19)</f>
        <v>5920471</v>
      </c>
    </row>
    <row r="21" spans="1:11" ht="43.5" x14ac:dyDescent="0.35">
      <c r="A21" s="9" t="s">
        <v>80</v>
      </c>
      <c r="B21" s="3">
        <f>137271 +57523</f>
        <v>194794</v>
      </c>
    </row>
    <row r="22" spans="1:11" ht="43.5" x14ac:dyDescent="0.35">
      <c r="A22" s="9" t="s">
        <v>81</v>
      </c>
      <c r="B22" s="3">
        <v>1014451</v>
      </c>
    </row>
    <row r="25" spans="1:11" x14ac:dyDescent="0.35">
      <c r="B25" s="1" t="s">
        <v>93</v>
      </c>
      <c r="C25" s="2"/>
      <c r="D25" s="2"/>
      <c r="E25" s="2"/>
      <c r="F25" s="2"/>
      <c r="G25" s="2"/>
      <c r="H25" s="2"/>
      <c r="I25" s="2"/>
      <c r="J25" s="2"/>
      <c r="K25" s="2"/>
    </row>
    <row r="26" spans="1:11" x14ac:dyDescent="0.35">
      <c r="B26" s="2"/>
      <c r="C26" s="2"/>
      <c r="D26" s="2"/>
      <c r="E26" s="2"/>
      <c r="F26" s="2"/>
      <c r="G26" s="2"/>
      <c r="H26" s="2"/>
      <c r="I26" s="2"/>
      <c r="J26" s="2"/>
      <c r="K26" s="2"/>
    </row>
    <row r="27" spans="1:11" x14ac:dyDescent="0.35">
      <c r="B27" s="2"/>
      <c r="C27" s="2"/>
      <c r="D27" s="2"/>
      <c r="E27" s="2"/>
      <c r="F27" s="2"/>
      <c r="G27" s="2"/>
      <c r="H27" s="2"/>
      <c r="I27" s="2"/>
      <c r="J27" s="2"/>
      <c r="K27" s="2"/>
    </row>
    <row r="28" spans="1:11" x14ac:dyDescent="0.35">
      <c r="B28" s="2"/>
      <c r="C28" s="2"/>
      <c r="D28" s="2"/>
      <c r="E28" s="2"/>
      <c r="F28" s="2"/>
      <c r="G28" s="2"/>
      <c r="H28" s="2"/>
      <c r="I28" s="2"/>
      <c r="J28" s="2"/>
      <c r="K28" s="2"/>
    </row>
    <row r="29" spans="1:11" x14ac:dyDescent="0.35">
      <c r="B29" s="2"/>
      <c r="C29" s="2"/>
      <c r="D29" s="2"/>
      <c r="E29" s="2"/>
      <c r="F29" s="2"/>
      <c r="G29" s="2"/>
      <c r="H29" s="2"/>
      <c r="I29" s="2"/>
      <c r="J29" s="2"/>
      <c r="K29" s="2"/>
    </row>
    <row r="30" spans="1:11" x14ac:dyDescent="0.35">
      <c r="B30" s="2"/>
      <c r="C30" s="2"/>
      <c r="D30" s="2"/>
      <c r="E30" s="2"/>
      <c r="F30" s="2"/>
      <c r="G30" s="2"/>
      <c r="H30" s="2"/>
      <c r="I30" s="2"/>
      <c r="J30" s="2"/>
      <c r="K30" s="2"/>
    </row>
    <row r="31" spans="1:11" x14ac:dyDescent="0.35">
      <c r="B31" s="2"/>
      <c r="C31" s="2"/>
      <c r="D31" s="2"/>
      <c r="E31" s="2"/>
      <c r="F31" s="2"/>
      <c r="G31" s="2"/>
      <c r="H31" s="2"/>
      <c r="I31" s="2"/>
      <c r="J31" s="2"/>
      <c r="K31" s="2"/>
    </row>
    <row r="32" spans="1:11" x14ac:dyDescent="0.35">
      <c r="B32" s="2"/>
      <c r="C32" s="2"/>
      <c r="D32" s="2"/>
      <c r="E32" s="2"/>
      <c r="F32" s="2"/>
      <c r="G32" s="2"/>
      <c r="H32" s="2"/>
      <c r="I32" s="2"/>
      <c r="J32" s="2"/>
      <c r="K32" s="2"/>
    </row>
    <row r="33" spans="2:11" x14ac:dyDescent="0.35">
      <c r="B33" s="2"/>
      <c r="C33" s="2"/>
      <c r="D33" s="2"/>
      <c r="E33" s="2"/>
      <c r="F33" s="2"/>
      <c r="G33" s="2"/>
      <c r="H33" s="2"/>
      <c r="I33" s="2"/>
      <c r="J33" s="2"/>
      <c r="K33" s="2"/>
    </row>
    <row r="34" spans="2:11" x14ac:dyDescent="0.35">
      <c r="B34" s="2"/>
      <c r="C34" s="2"/>
      <c r="D34" s="2"/>
      <c r="E34" s="2"/>
      <c r="F34" s="2"/>
      <c r="G34" s="2"/>
      <c r="H34" s="2"/>
      <c r="I34" s="2"/>
      <c r="J34" s="2"/>
      <c r="K34" s="2"/>
    </row>
    <row r="35" spans="2:11" x14ac:dyDescent="0.35">
      <c r="B35" s="2"/>
      <c r="C35" s="2"/>
      <c r="D35" s="2"/>
      <c r="E35" s="2"/>
      <c r="F35" s="2"/>
      <c r="G35" s="2"/>
      <c r="H35" s="2"/>
      <c r="I35" s="2"/>
      <c r="J35" s="2"/>
      <c r="K35" s="2"/>
    </row>
    <row r="36" spans="2:11" x14ac:dyDescent="0.35">
      <c r="B36" s="2"/>
      <c r="C36" s="2"/>
      <c r="D36" s="2"/>
      <c r="E36" s="2"/>
      <c r="F36" s="2"/>
      <c r="G36" s="2"/>
      <c r="H36" s="2"/>
      <c r="I36" s="2"/>
      <c r="J36" s="2"/>
      <c r="K36" s="2"/>
    </row>
    <row r="37" spans="2:11" x14ac:dyDescent="0.35">
      <c r="B37" s="2"/>
      <c r="C37" s="2"/>
      <c r="D37" s="2"/>
      <c r="E37" s="2"/>
      <c r="F37" s="2"/>
      <c r="G37" s="2"/>
      <c r="H37" s="2"/>
      <c r="I37" s="2"/>
      <c r="J37" s="2"/>
      <c r="K37" s="2"/>
    </row>
    <row r="38" spans="2:11" x14ac:dyDescent="0.35">
      <c r="B38" s="2"/>
      <c r="C38" s="2"/>
      <c r="D38" s="2"/>
      <c r="E38" s="2"/>
      <c r="F38" s="2"/>
      <c r="G38" s="2"/>
      <c r="H38" s="2"/>
      <c r="I38" s="2"/>
      <c r="J38" s="2"/>
      <c r="K38" s="2"/>
    </row>
    <row r="39" spans="2:11" x14ac:dyDescent="0.35">
      <c r="B39" s="2"/>
      <c r="C39" s="2"/>
      <c r="D39" s="2"/>
      <c r="E39" s="2"/>
      <c r="F39" s="2"/>
      <c r="G39" s="2"/>
      <c r="H39" s="2"/>
      <c r="I39" s="2"/>
      <c r="J39" s="2"/>
      <c r="K39" s="2"/>
    </row>
  </sheetData>
  <mergeCells count="5">
    <mergeCell ref="B25:K39"/>
    <mergeCell ref="A1:E2"/>
    <mergeCell ref="A3:M4"/>
    <mergeCell ref="A5:I5"/>
    <mergeCell ref="A12:B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Question 1</vt:lpstr>
      <vt:lpstr>Question 2</vt:lpstr>
      <vt:lpstr>Question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2020-10-17T21:16:27Z</dcterms:created>
  <dcterms:modified xsi:type="dcterms:W3CDTF">2020-10-18T10:34:30Z</dcterms:modified>
</cp:coreProperties>
</file>