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chartsheets/sheet2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nja\Documents\"/>
    </mc:Choice>
  </mc:AlternateContent>
  <bookViews>
    <workbookView xWindow="0" yWindow="0" windowWidth="20490" windowHeight="9045" firstSheet="1" activeTab="5"/>
  </bookViews>
  <sheets>
    <sheet name="CIEandPI" sheetId="27" r:id="rId1"/>
    <sheet name="SLRData2" sheetId="26" r:id="rId2"/>
    <sheet name="COMPUTE2" sheetId="25" r:id="rId3"/>
    <sheet name="Residual Plot" sheetId="24" r:id="rId4"/>
    <sheet name="PlotData" sheetId="23" r:id="rId5"/>
    <sheet name="NormalPlot" sheetId="29" r:id="rId6"/>
    <sheet name="Plot" sheetId="28" r:id="rId7"/>
    <sheet name="Residuals" sheetId="22" r:id="rId8"/>
    <sheet name="SLRData" sheetId="21" r:id="rId9"/>
    <sheet name="COMPUTE" sheetId="20" r:id="rId10"/>
    <sheet name="SampleSize2" sheetId="7" r:id="rId11"/>
    <sheet name="Confidence2" sheetId="6" r:id="rId12"/>
    <sheet name="Hypothesis2" sheetId="5" r:id="rId13"/>
    <sheet name="Hypothesis" sheetId="4" r:id="rId14"/>
    <sheet name="SampleSize" sheetId="3" r:id="rId15"/>
    <sheet name="Confidence" sheetId="2" r:id="rId16"/>
    <sheet name="Sheet1" sheetId="1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28" l="1"/>
  <c r="C21" i="28" s="1"/>
  <c r="C20" i="28"/>
  <c r="B20" i="28"/>
  <c r="C19" i="28"/>
  <c r="B19" i="28"/>
  <c r="C18" i="28"/>
  <c r="B18" i="28"/>
  <c r="C17" i="28"/>
  <c r="B17" i="28"/>
  <c r="C16" i="28"/>
  <c r="B16" i="28"/>
  <c r="C15" i="28"/>
  <c r="B15" i="28"/>
  <c r="C14" i="28"/>
  <c r="B14" i="28"/>
  <c r="C13" i="28"/>
  <c r="B13" i="28"/>
  <c r="C12" i="28"/>
  <c r="B12" i="28"/>
  <c r="C11" i="28"/>
  <c r="B11" i="28"/>
  <c r="C10" i="28"/>
  <c r="B10" i="28"/>
  <c r="C9" i="28"/>
  <c r="B9" i="28"/>
  <c r="C8" i="28"/>
  <c r="B8" i="28"/>
  <c r="C7" i="28"/>
  <c r="B7" i="28"/>
  <c r="C6" i="28"/>
  <c r="B6" i="28"/>
  <c r="C5" i="28"/>
  <c r="B5" i="28"/>
  <c r="C4" i="28"/>
  <c r="B4" i="28"/>
  <c r="C3" i="28"/>
  <c r="B3" i="28"/>
  <c r="C2" i="28"/>
  <c r="B2" i="28"/>
  <c r="C21" i="22"/>
  <c r="C20" i="22"/>
  <c r="C19" i="22"/>
  <c r="C18" i="22"/>
  <c r="C17" i="22"/>
  <c r="C16" i="22"/>
  <c r="C15" i="22"/>
  <c r="C14" i="22"/>
  <c r="E14" i="22" s="1"/>
  <c r="C13" i="22"/>
  <c r="C12" i="22"/>
  <c r="C11" i="22"/>
  <c r="C10" i="22"/>
  <c r="C9" i="22"/>
  <c r="E18" i="22"/>
  <c r="E10" i="22"/>
  <c r="C8" i="22"/>
  <c r="C6" i="22"/>
  <c r="C7" i="22"/>
  <c r="E9" i="22"/>
  <c r="E11" i="22"/>
  <c r="E13" i="22"/>
  <c r="E15" i="22"/>
  <c r="E17" i="22"/>
  <c r="E19" i="22"/>
  <c r="E21" i="22"/>
  <c r="C5" i="22"/>
  <c r="C4" i="22"/>
  <c r="C3" i="22"/>
  <c r="C2" i="22"/>
  <c r="E2" i="22"/>
  <c r="B15" i="27"/>
  <c r="B12" i="27"/>
  <c r="B11" i="27"/>
  <c r="B9" i="27"/>
  <c r="B10" i="27" s="1"/>
  <c r="B8" i="27"/>
  <c r="B14" i="27" s="1"/>
  <c r="B8" i="25"/>
  <c r="L2" i="25" a="1"/>
  <c r="L2" i="25" s="1"/>
  <c r="E20" i="22"/>
  <c r="E16" i="22"/>
  <c r="E12" i="22"/>
  <c r="E8" i="22"/>
  <c r="E7" i="22"/>
  <c r="E6" i="22"/>
  <c r="E5" i="22"/>
  <c r="E4" i="22"/>
  <c r="E3" i="22"/>
  <c r="B8" i="20"/>
  <c r="L2" i="20" a="1"/>
  <c r="L2" i="20" s="1"/>
  <c r="M6" i="25" l="1"/>
  <c r="M5" i="25"/>
  <c r="M4" i="25"/>
  <c r="B7" i="25" s="1"/>
  <c r="B13" i="27" s="1"/>
  <c r="B23" i="27" s="1"/>
  <c r="M3" i="25"/>
  <c r="M2" i="25"/>
  <c r="L6" i="25"/>
  <c r="L5" i="25"/>
  <c r="L4" i="25"/>
  <c r="L3" i="25"/>
  <c r="M6" i="20"/>
  <c r="M5" i="20"/>
  <c r="M4" i="20"/>
  <c r="B7" i="20" s="1"/>
  <c r="M3" i="20"/>
  <c r="M2" i="20"/>
  <c r="L6" i="20"/>
  <c r="L5" i="20"/>
  <c r="L4" i="20"/>
  <c r="L3" i="20"/>
  <c r="B7" i="7"/>
  <c r="B8" i="7" s="1"/>
  <c r="B8" i="6"/>
  <c r="B7" i="6"/>
  <c r="B12" i="5"/>
  <c r="B11" i="5"/>
  <c r="B13" i="5" s="1"/>
  <c r="B12" i="4"/>
  <c r="B16" i="4" s="1"/>
  <c r="B11" i="4"/>
  <c r="B13" i="4" s="1"/>
  <c r="B9" i="3"/>
  <c r="B10" i="3" s="1"/>
  <c r="B20" i="2"/>
  <c r="B19" i="2"/>
  <c r="B11" i="2"/>
  <c r="B12" i="2" s="1"/>
  <c r="B10" i="2"/>
  <c r="B25" i="27" l="1"/>
  <c r="B24" i="27"/>
  <c r="B18" i="27"/>
  <c r="B10" i="7"/>
  <c r="B9" i="6"/>
  <c r="B10" i="6" s="1"/>
  <c r="B16" i="5"/>
  <c r="E17" i="5"/>
  <c r="E18" i="5" s="1"/>
  <c r="B17" i="5" s="1"/>
  <c r="A18" i="5" s="1"/>
  <c r="E17" i="4"/>
  <c r="E18" i="4" s="1"/>
  <c r="B17" i="4" s="1"/>
  <c r="A18" i="4" s="1"/>
  <c r="B13" i="3"/>
  <c r="B13" i="2"/>
  <c r="B17" i="2" s="1"/>
  <c r="B16" i="2"/>
  <c r="B20" i="27" l="1"/>
  <c r="B19" i="27"/>
  <c r="B12" i="6"/>
  <c r="B13" i="6"/>
  <c r="H3" i="1" l="1"/>
  <c r="H2" i="1"/>
</calcChain>
</file>

<file path=xl/sharedStrings.xml><?xml version="1.0" encoding="utf-8"?>
<sst xmlns="http://schemas.openxmlformats.org/spreadsheetml/2006/main" count="163" uniqueCount="83">
  <si>
    <t>Runs Scored (X)</t>
  </si>
  <si>
    <t>Wins (Y)</t>
  </si>
  <si>
    <t>Mean</t>
  </si>
  <si>
    <t>Standard deviation</t>
  </si>
  <si>
    <t>Q1</t>
  </si>
  <si>
    <t>Sample Wins</t>
  </si>
  <si>
    <t>averageof the 20 entries</t>
  </si>
  <si>
    <t>std deviation of sample;stdev.s</t>
  </si>
  <si>
    <t>Data</t>
  </si>
  <si>
    <t>Sample Standard Deviation</t>
  </si>
  <si>
    <t>Sample Mean</t>
  </si>
  <si>
    <t>Sample Size</t>
  </si>
  <si>
    <t>Confidence Level</t>
  </si>
  <si>
    <t>Intermediate Calculations</t>
  </si>
  <si>
    <t>Standard Error of the Mean</t>
  </si>
  <si>
    <t>Degrees of Freedom</t>
  </si>
  <si>
    <r>
      <t>t</t>
    </r>
    <r>
      <rPr>
        <sz val="11"/>
        <rFont val="Calibri"/>
        <family val="2"/>
      </rPr>
      <t xml:space="preserve"> Value</t>
    </r>
  </si>
  <si>
    <t>Interval Half Width</t>
  </si>
  <si>
    <t>Confidence Interval</t>
  </si>
  <si>
    <t>Interval Lower Limit</t>
  </si>
  <si>
    <t>Interval Upper Limit</t>
  </si>
  <si>
    <t>Confidence Interval for the true mean number of wins for all Major League teams</t>
  </si>
  <si>
    <t>margin error of the CI</t>
  </si>
  <si>
    <t>Population Standard Deviation</t>
  </si>
  <si>
    <t>Sampling Error</t>
  </si>
  <si>
    <t>Intemediate Calculations</t>
  </si>
  <si>
    <t>Z Value</t>
  </si>
  <si>
    <t xml:space="preserve">Calculated Sample Size </t>
  </si>
  <si>
    <t>Result</t>
  </si>
  <si>
    <t>Sample Size Needed</t>
  </si>
  <si>
    <r>
      <t xml:space="preserve">Null Hypothesis                </t>
    </r>
    <r>
      <rPr>
        <b/>
        <sz val="11"/>
        <rFont val="Symbol"/>
        <family val="1"/>
        <charset val="2"/>
      </rPr>
      <t>m</t>
    </r>
    <r>
      <rPr>
        <b/>
        <sz val="11"/>
        <rFont val="Calibri"/>
        <family val="2"/>
      </rPr>
      <t>=</t>
    </r>
  </si>
  <si>
    <t>Level of Significance</t>
  </si>
  <si>
    <r>
      <t>t</t>
    </r>
    <r>
      <rPr>
        <b/>
        <sz val="11"/>
        <rFont val="Calibri"/>
        <family val="2"/>
      </rPr>
      <t xml:space="preserve"> Test Statistic</t>
    </r>
  </si>
  <si>
    <t>Upper Critical Value</t>
  </si>
  <si>
    <r>
      <t>p</t>
    </r>
    <r>
      <rPr>
        <b/>
        <sz val="11"/>
        <rFont val="Calibri"/>
        <family val="2"/>
      </rPr>
      <t>-Value</t>
    </r>
  </si>
  <si>
    <t>Calculations Area</t>
  </si>
  <si>
    <t>For one-tailed tests:</t>
  </si>
  <si>
    <t>T.DIST.RT value</t>
  </si>
  <si>
    <t>1-T.DIST.RT value</t>
  </si>
  <si>
    <t>Upper-Tail Test</t>
  </si>
  <si>
    <t>number of wins for all teams is more than 75</t>
  </si>
  <si>
    <t>Number of Successes</t>
  </si>
  <si>
    <t>Sample Proportion</t>
  </si>
  <si>
    <t>Standard Error of the Proportion</t>
  </si>
  <si>
    <t>Confidence Interval Estimate for the Proportion</t>
  </si>
  <si>
    <t>Estimate of True Proportion</t>
  </si>
  <si>
    <t>Sample Size Determination</t>
  </si>
  <si>
    <t>Calculations</t>
  </si>
  <si>
    <t>b1, b0 Coefficients</t>
  </si>
  <si>
    <t>Regression Statistics</t>
  </si>
  <si>
    <t>b1, b0 Standard Error</t>
  </si>
  <si>
    <t>Multiple R</t>
  </si>
  <si>
    <t>R Square, Standard Error</t>
  </si>
  <si>
    <t>R Square</t>
  </si>
  <si>
    <r>
      <t>F</t>
    </r>
    <r>
      <rPr>
        <sz val="11"/>
        <rFont val="Calibri"/>
        <family val="2"/>
      </rPr>
      <t xml:space="preserve">, Residual </t>
    </r>
    <r>
      <rPr>
        <i/>
        <sz val="11"/>
        <rFont val="Calibri"/>
        <family val="2"/>
      </rPr>
      <t>df</t>
    </r>
  </si>
  <si>
    <t>Adjusted R Square</t>
  </si>
  <si>
    <r>
      <t xml:space="preserve">Regression </t>
    </r>
    <r>
      <rPr>
        <i/>
        <sz val="11"/>
        <rFont val="Calibri"/>
        <family val="2"/>
      </rPr>
      <t>SS</t>
    </r>
    <r>
      <rPr>
        <sz val="11"/>
        <rFont val="Calibri"/>
        <family val="2"/>
      </rPr>
      <t xml:space="preserve">, Residual </t>
    </r>
    <r>
      <rPr>
        <i/>
        <sz val="11"/>
        <rFont val="Calibri"/>
        <family val="2"/>
      </rPr>
      <t>SS</t>
    </r>
  </si>
  <si>
    <t>Standard Error</t>
  </si>
  <si>
    <t>Observations</t>
  </si>
  <si>
    <t>Confidence level</t>
  </si>
  <si>
    <r>
      <t>t</t>
    </r>
    <r>
      <rPr>
        <sz val="11"/>
        <rFont val="Calibri"/>
        <family val="2"/>
      </rPr>
      <t xml:space="preserve"> Critical Value</t>
    </r>
  </si>
  <si>
    <r>
      <t xml:space="preserve">Half Width </t>
    </r>
    <r>
      <rPr>
        <i/>
        <sz val="11"/>
        <rFont val="Calibri"/>
        <family val="2"/>
      </rPr>
      <t>b0</t>
    </r>
  </si>
  <si>
    <r>
      <t xml:space="preserve">Half Width </t>
    </r>
    <r>
      <rPr>
        <i/>
        <sz val="11"/>
        <rFont val="Calibri"/>
        <family val="2"/>
      </rPr>
      <t>b1</t>
    </r>
  </si>
  <si>
    <t>Simple Linear Regression Analysis</t>
  </si>
  <si>
    <t>Observation</t>
  </si>
  <si>
    <t>Predicted Y</t>
  </si>
  <si>
    <t>Residuals</t>
  </si>
  <si>
    <t>t Value</t>
  </si>
  <si>
    <t>XBar, Sample Mean of X</t>
  </si>
  <si>
    <t>Sum of Squared Differences from XBar</t>
  </si>
  <si>
    <t>Standard Error of the Estimate</t>
  </si>
  <si>
    <t>h Statistic</t>
  </si>
  <si>
    <t>Predicted Y (YHat)</t>
  </si>
  <si>
    <t>For Average Y</t>
  </si>
  <si>
    <t>Confidence Interval Lower Limit</t>
  </si>
  <si>
    <t>Confidence Interval Upper Limit</t>
  </si>
  <si>
    <t>For Individual Response Y</t>
  </si>
  <si>
    <t>Prediction Interval Lower Limit</t>
  </si>
  <si>
    <t>Prediction Interval Upper Limit</t>
  </si>
  <si>
    <t>X Value</t>
  </si>
  <si>
    <t>Confidence Interval Estimate</t>
  </si>
  <si>
    <t>Rank</t>
  </si>
  <si>
    <t>Proportion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</si>
</sst>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7" formatCode="0.00000"/>
    <numFmt numFmtId="175" formatCode="0.000000000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Symbol"/>
      <family val="1"/>
      <charset val="2"/>
    </font>
    <font>
      <b/>
      <i/>
      <sz val="11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</cellStyleXfs>
  <cellXfs count="10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4" fillId="0" borderId="0" xfId="1" applyFont="1" applyAlignment="1">
      <alignment horizontal="left"/>
    </xf>
    <xf numFmtId="0" fontId="5" fillId="0" borderId="0" xfId="1" applyFont="1" applyBorder="1" applyAlignment="1">
      <alignment horizontal="centerContinuous"/>
    </xf>
    <xf numFmtId="0" fontId="5" fillId="0" borderId="0" xfId="1" applyFont="1"/>
    <xf numFmtId="0" fontId="4" fillId="0" borderId="0" xfId="1" applyFont="1" applyAlignment="1">
      <alignment horizontal="centerContinuous"/>
    </xf>
    <xf numFmtId="0" fontId="4" fillId="2" borderId="2" xfId="1" applyFont="1" applyFill="1" applyBorder="1" applyAlignment="1">
      <alignment horizontal="centerContinuous"/>
    </xf>
    <xf numFmtId="0" fontId="5" fillId="2" borderId="3" xfId="1" applyFont="1" applyFill="1" applyBorder="1" applyAlignment="1">
      <alignment horizontal="centerContinuous"/>
    </xf>
    <xf numFmtId="0" fontId="4" fillId="2" borderId="1" xfId="1" applyFont="1" applyFill="1" applyBorder="1"/>
    <xf numFmtId="0" fontId="4" fillId="0" borderId="0" xfId="1" applyFont="1" applyFill="1" applyBorder="1"/>
    <xf numFmtId="9" fontId="4" fillId="0" borderId="0" xfId="2" applyFont="1" applyFill="1" applyBorder="1" applyProtection="1">
      <protection locked="0"/>
    </xf>
    <xf numFmtId="0" fontId="5" fillId="0" borderId="0" xfId="1" applyFont="1" applyFill="1"/>
    <xf numFmtId="0" fontId="5" fillId="0" borderId="2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1" xfId="1" applyFont="1" applyBorder="1"/>
    <xf numFmtId="0" fontId="6" fillId="0" borderId="1" xfId="1" applyFont="1" applyBorder="1"/>
    <xf numFmtId="164" fontId="5" fillId="0" borderId="1" xfId="1" applyNumberFormat="1" applyFont="1" applyBorder="1"/>
    <xf numFmtId="0" fontId="5" fillId="0" borderId="4" xfId="1" applyFont="1" applyBorder="1"/>
    <xf numFmtId="0" fontId="4" fillId="3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1" xfId="1" applyFont="1" applyFill="1" applyBorder="1"/>
    <xf numFmtId="0" fontId="4" fillId="0" borderId="0" xfId="1" applyFont="1" applyBorder="1"/>
    <xf numFmtId="0" fontId="5" fillId="0" borderId="0" xfId="1" applyFont="1" applyBorder="1"/>
    <xf numFmtId="164" fontId="4" fillId="2" borderId="1" xfId="1" applyNumberFormat="1" applyFont="1" applyFill="1" applyBorder="1" applyProtection="1">
      <protection locked="0"/>
    </xf>
    <xf numFmtId="164" fontId="4" fillId="2" borderId="1" xfId="2" applyNumberFormat="1" applyFont="1" applyFill="1" applyBorder="1" applyProtection="1">
      <protection locked="0"/>
    </xf>
    <xf numFmtId="164" fontId="4" fillId="3" borderId="1" xfId="1" applyNumberFormat="1" applyFont="1" applyFill="1" applyBorder="1"/>
    <xf numFmtId="164" fontId="5" fillId="0" borderId="0" xfId="1" applyNumberFormat="1" applyFont="1"/>
    <xf numFmtId="0" fontId="8" fillId="0" borderId="0" xfId="1" applyFont="1" applyAlignment="1">
      <alignment horizontal="left"/>
    </xf>
    <xf numFmtId="0" fontId="7" fillId="0" borderId="0" xfId="1" applyFont="1" applyAlignment="1">
      <alignment horizontal="centerContinuous"/>
    </xf>
    <xf numFmtId="0" fontId="7" fillId="0" borderId="0" xfId="1" applyFont="1"/>
    <xf numFmtId="0" fontId="8" fillId="0" borderId="0" xfId="1" applyFont="1" applyAlignment="1">
      <alignment horizontal="centerContinuous"/>
    </xf>
    <xf numFmtId="0" fontId="7" fillId="0" borderId="0" xfId="1" applyFont="1" applyBorder="1" applyAlignment="1">
      <alignment horizontal="centerContinuous"/>
    </xf>
    <xf numFmtId="0" fontId="8" fillId="2" borderId="1" xfId="1" applyFont="1" applyFill="1" applyBorder="1" applyAlignment="1">
      <alignment horizontal="centerContinuous"/>
    </xf>
    <xf numFmtId="0" fontId="7" fillId="2" borderId="1" xfId="1" applyFont="1" applyFill="1" applyBorder="1" applyAlignment="1">
      <alignment horizontal="centerContinuous"/>
    </xf>
    <xf numFmtId="0" fontId="8" fillId="2" borderId="1" xfId="1" applyFont="1" applyFill="1" applyBorder="1"/>
    <xf numFmtId="0" fontId="8" fillId="0" borderId="0" xfId="1" applyFont="1" applyBorder="1"/>
    <xf numFmtId="9" fontId="8" fillId="0" borderId="0" xfId="2" applyFont="1" applyFill="1" applyBorder="1" applyProtection="1">
      <protection locked="0"/>
    </xf>
    <xf numFmtId="0" fontId="7" fillId="0" borderId="1" xfId="1" applyFont="1" applyBorder="1" applyAlignment="1">
      <alignment horizontal="center"/>
    </xf>
    <xf numFmtId="0" fontId="7" fillId="0" borderId="1" xfId="1" applyFont="1" applyBorder="1"/>
    <xf numFmtId="164" fontId="7" fillId="0" borderId="1" xfId="1" applyNumberFormat="1" applyFont="1" applyFill="1" applyBorder="1"/>
    <xf numFmtId="0" fontId="7" fillId="0" borderId="0" xfId="1" applyFont="1" applyBorder="1"/>
    <xf numFmtId="0" fontId="7" fillId="0" borderId="0" xfId="1" applyFont="1" applyFill="1" applyBorder="1"/>
    <xf numFmtId="0" fontId="7" fillId="3" borderId="1" xfId="1" applyFont="1" applyFill="1" applyBorder="1" applyAlignment="1">
      <alignment horizontal="center"/>
    </xf>
    <xf numFmtId="0" fontId="8" fillId="3" borderId="1" xfId="1" applyFont="1" applyFill="1" applyBorder="1"/>
    <xf numFmtId="164" fontId="8" fillId="3" borderId="1" xfId="1" applyNumberFormat="1" applyFont="1" applyFill="1" applyBorder="1"/>
    <xf numFmtId="0" fontId="8" fillId="0" borderId="0" xfId="1" applyFont="1" applyFill="1" applyBorder="1"/>
    <xf numFmtId="0" fontId="8" fillId="0" borderId="1" xfId="1" applyFont="1" applyBorder="1" applyAlignment="1">
      <alignment horizontal="centerContinuous"/>
    </xf>
    <xf numFmtId="164" fontId="8" fillId="2" borderId="1" xfId="1" applyNumberFormat="1" applyFont="1" applyFill="1" applyBorder="1" applyProtection="1">
      <protection locked="0"/>
    </xf>
    <xf numFmtId="164" fontId="8" fillId="2" borderId="1" xfId="2" applyNumberFormat="1" applyFont="1" applyFill="1" applyBorder="1" applyProtection="1">
      <protection locked="0"/>
    </xf>
    <xf numFmtId="0" fontId="8" fillId="2" borderId="1" xfId="1" applyFont="1" applyFill="1" applyBorder="1" applyAlignment="1">
      <alignment horizontal="center"/>
    </xf>
    <xf numFmtId="0" fontId="8" fillId="0" borderId="0" xfId="1" applyFont="1"/>
    <xf numFmtId="164" fontId="7" fillId="0" borderId="1" xfId="1" applyNumberFormat="1" applyFont="1" applyBorder="1"/>
    <xf numFmtId="0" fontId="10" fillId="3" borderId="1" xfId="1" applyFont="1" applyFill="1" applyBorder="1"/>
    <xf numFmtId="0" fontId="8" fillId="3" borderId="1" xfId="1" applyFont="1" applyFill="1" applyBorder="1" applyAlignment="1">
      <alignment horizontal="centerContinuous"/>
    </xf>
    <xf numFmtId="0" fontId="8" fillId="0" borderId="0" xfId="1" applyFont="1" applyBorder="1" applyAlignment="1">
      <alignment horizontal="center"/>
    </xf>
    <xf numFmtId="0" fontId="7" fillId="0" borderId="7" xfId="1" applyFont="1" applyBorder="1" applyAlignment="1">
      <alignment horizontal="centerContinuous"/>
    </xf>
    <xf numFmtId="0" fontId="7" fillId="0" borderId="0" xfId="1" applyFont="1" applyBorder="1" applyAlignment="1">
      <alignment horizontal="left"/>
    </xf>
    <xf numFmtId="0" fontId="7" fillId="0" borderId="0" xfId="1" applyFont="1" applyBorder="1" applyAlignment="1">
      <alignment horizontal="right"/>
    </xf>
    <xf numFmtId="164" fontId="7" fillId="0" borderId="0" xfId="1" applyNumberFormat="1" applyFont="1"/>
    <xf numFmtId="164" fontId="8" fillId="2" borderId="1" xfId="1" applyNumberFormat="1" applyFont="1" applyFill="1" applyBorder="1"/>
    <xf numFmtId="0" fontId="7" fillId="0" borderId="1" xfId="1" applyFont="1" applyBorder="1" applyAlignment="1">
      <alignment horizontal="centerContinuous"/>
    </xf>
    <xf numFmtId="0" fontId="7" fillId="0" borderId="1" xfId="1" applyFont="1" applyFill="1" applyBorder="1" applyAlignment="1">
      <alignment horizontal="center"/>
    </xf>
    <xf numFmtId="0" fontId="7" fillId="0" borderId="1" xfId="1" applyFont="1" applyFill="1" applyBorder="1"/>
    <xf numFmtId="0" fontId="8" fillId="3" borderId="1" xfId="1" applyFont="1" applyFill="1" applyBorder="1" applyAlignment="1">
      <alignment horizontal="center"/>
    </xf>
    <xf numFmtId="164" fontId="8" fillId="2" borderId="1" xfId="2" applyNumberFormat="1" applyFont="1" applyFill="1" applyBorder="1"/>
    <xf numFmtId="0" fontId="7" fillId="0" borderId="5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8" fillId="0" borderId="0" xfId="3" applyFont="1"/>
    <xf numFmtId="0" fontId="11" fillId="0" borderId="7" xfId="3" applyFont="1" applyFill="1" applyBorder="1" applyAlignment="1">
      <alignment horizontal="center"/>
    </xf>
    <xf numFmtId="0" fontId="11" fillId="0" borderId="0" xfId="3" applyFont="1" applyFill="1" applyBorder="1" applyAlignment="1">
      <alignment horizontal="center"/>
    </xf>
    <xf numFmtId="0" fontId="11" fillId="0" borderId="0" xfId="3" applyFont="1" applyFill="1"/>
    <xf numFmtId="0" fontId="7" fillId="0" borderId="0" xfId="3" applyFont="1" applyFill="1"/>
    <xf numFmtId="0" fontId="7" fillId="0" borderId="0" xfId="3" applyFont="1"/>
    <xf numFmtId="0" fontId="11" fillId="0" borderId="0" xfId="1" applyFont="1"/>
    <xf numFmtId="164" fontId="7" fillId="0" borderId="8" xfId="3" applyNumberFormat="1" applyFont="1" applyFill="1" applyBorder="1"/>
    <xf numFmtId="164" fontId="7" fillId="0" borderId="9" xfId="3" applyNumberFormat="1" applyFont="1" applyFill="1" applyBorder="1"/>
    <xf numFmtId="0" fontId="8" fillId="0" borderId="0" xfId="3" applyFont="1" applyFill="1"/>
    <xf numFmtId="0" fontId="11" fillId="0" borderId="10" xfId="3" applyFont="1" applyFill="1" applyBorder="1" applyAlignment="1">
      <alignment horizontal="centerContinuous"/>
    </xf>
    <xf numFmtId="164" fontId="7" fillId="0" borderId="11" xfId="3" applyNumberFormat="1" applyFont="1" applyFill="1" applyBorder="1"/>
    <xf numFmtId="164" fontId="7" fillId="0" borderId="12" xfId="3" applyNumberFormat="1" applyFont="1" applyFill="1" applyBorder="1"/>
    <xf numFmtId="0" fontId="7" fillId="0" borderId="0" xfId="3" applyFont="1" applyFill="1" applyBorder="1" applyAlignment="1"/>
    <xf numFmtId="164" fontId="7" fillId="0" borderId="0" xfId="3" applyNumberFormat="1" applyFont="1" applyFill="1" applyBorder="1" applyAlignment="1"/>
    <xf numFmtId="175" fontId="8" fillId="0" borderId="0" xfId="3" applyNumberFormat="1" applyFont="1"/>
    <xf numFmtId="164" fontId="7" fillId="0" borderId="13" xfId="3" applyNumberFormat="1" applyFont="1" applyFill="1" applyBorder="1"/>
    <xf numFmtId="164" fontId="7" fillId="0" borderId="14" xfId="3" applyNumberFormat="1" applyFont="1" applyFill="1" applyBorder="1"/>
    <xf numFmtId="0" fontId="7" fillId="0" borderId="15" xfId="3" applyFont="1" applyFill="1" applyBorder="1" applyAlignment="1"/>
    <xf numFmtId="0" fontId="7" fillId="0" borderId="0" xfId="1" applyFont="1" applyFill="1"/>
    <xf numFmtId="9" fontId="7" fillId="0" borderId="0" xfId="1" applyNumberFormat="1" applyFont="1" applyFill="1"/>
    <xf numFmtId="0" fontId="11" fillId="0" borderId="0" xfId="1" applyFont="1" applyFill="1"/>
    <xf numFmtId="164" fontId="7" fillId="0" borderId="0" xfId="1" applyNumberFormat="1" applyFont="1" applyFill="1"/>
    <xf numFmtId="0" fontId="10" fillId="0" borderId="0" xfId="3" applyFont="1" applyFill="1" applyBorder="1" applyAlignment="1">
      <alignment horizontal="center"/>
    </xf>
    <xf numFmtId="167" fontId="8" fillId="0" borderId="0" xfId="3" applyNumberFormat="1" applyFont="1" applyFill="1" applyBorder="1" applyAlignment="1"/>
    <xf numFmtId="164" fontId="7" fillId="0" borderId="0" xfId="3" applyNumberFormat="1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9" fontId="2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center"/>
    </xf>
    <xf numFmtId="0" fontId="0" fillId="3" borderId="1" xfId="0" applyFill="1" applyBorder="1"/>
    <xf numFmtId="0" fontId="2" fillId="3" borderId="1" xfId="0" applyFont="1" applyFill="1" applyBorder="1"/>
    <xf numFmtId="164" fontId="0" fillId="3" borderId="1" xfId="0" applyNumberFormat="1" applyFill="1" applyBorder="1"/>
    <xf numFmtId="164" fontId="2" fillId="3" borderId="1" xfId="0" applyNumberFormat="1" applyFont="1" applyFill="1" applyBorder="1"/>
    <xf numFmtId="164" fontId="2" fillId="3" borderId="1" xfId="0" applyNumberFormat="1" applyFont="1" applyFill="1" applyBorder="1" applyAlignment="1">
      <alignment horizontal="center"/>
    </xf>
  </cellXfs>
  <cellStyles count="4">
    <cellStyle name="Normal" xfId="0" builtinId="0"/>
    <cellStyle name="Normal 2" xfId="1"/>
    <cellStyle name="Normal_ToolPakFree Simple Linear Regression" xfId="3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13" Type="http://schemas.openxmlformats.org/officeDocument/2006/relationships/worksheet" Target="worksheets/sheet11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5.xml"/><Relationship Id="rId12" Type="http://schemas.openxmlformats.org/officeDocument/2006/relationships/worksheet" Target="worksheets/sheet10.xml"/><Relationship Id="rId17" Type="http://schemas.openxmlformats.org/officeDocument/2006/relationships/worksheet" Target="worksheets/sheet1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2.xml"/><Relationship Id="rId11" Type="http://schemas.openxmlformats.org/officeDocument/2006/relationships/worksheet" Target="worksheets/sheet9.xml"/><Relationship Id="rId5" Type="http://schemas.openxmlformats.org/officeDocument/2006/relationships/worksheet" Target="worksheets/sheet4.xml"/><Relationship Id="rId15" Type="http://schemas.openxmlformats.org/officeDocument/2006/relationships/worksheet" Target="worksheets/sheet13.xml"/><Relationship Id="rId10" Type="http://schemas.openxmlformats.org/officeDocument/2006/relationships/worksheet" Target="worksheets/sheet8.xml"/><Relationship Id="rId19" Type="http://schemas.openxmlformats.org/officeDocument/2006/relationships/styles" Target="styles.xml"/><Relationship Id="rId4" Type="http://schemas.openxmlformats.org/officeDocument/2006/relationships/chartsheet" Target="chartsheets/sheet1.xml"/><Relationship Id="rId9" Type="http://schemas.openxmlformats.org/officeDocument/2006/relationships/worksheet" Target="worksheets/sheet7.xml"/><Relationship Id="rId14" Type="http://schemas.openxmlformats.org/officeDocument/2006/relationships/worksheet" Target="worksheets/sheet1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Residual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PlotData!$C$1</c:f>
              <c:strCache>
                <c:ptCount val="1"/>
                <c:pt idx="0">
                  <c:v>Residuals</c:v>
                </c:pt>
              </c:strCache>
            </c:strRef>
          </c:tx>
          <c:spPr>
            <a:ln w="19050">
              <a:noFill/>
            </a:ln>
          </c:spPr>
          <c:xVal>
            <c:numRef>
              <c:f>PlotData!$B$2:$B$21</c:f>
              <c:numCache>
                <c:formatCode>General</c:formatCode>
                <c:ptCount val="20"/>
                <c:pt idx="0">
                  <c:v>708</c:v>
                </c:pt>
                <c:pt idx="1">
                  <c:v>875</c:v>
                </c:pt>
                <c:pt idx="2">
                  <c:v>654</c:v>
                </c:pt>
                <c:pt idx="3">
                  <c:v>704</c:v>
                </c:pt>
                <c:pt idx="4">
                  <c:v>787</c:v>
                </c:pt>
                <c:pt idx="5">
                  <c:v>730</c:v>
                </c:pt>
                <c:pt idx="6">
                  <c:v>667</c:v>
                </c:pt>
                <c:pt idx="7">
                  <c:v>619</c:v>
                </c:pt>
                <c:pt idx="8">
                  <c:v>867</c:v>
                </c:pt>
                <c:pt idx="9">
                  <c:v>645</c:v>
                </c:pt>
                <c:pt idx="10">
                  <c:v>556</c:v>
                </c:pt>
                <c:pt idx="11">
                  <c:v>707</c:v>
                </c:pt>
                <c:pt idx="12">
                  <c:v>855</c:v>
                </c:pt>
                <c:pt idx="13">
                  <c:v>743</c:v>
                </c:pt>
                <c:pt idx="14">
                  <c:v>731</c:v>
                </c:pt>
                <c:pt idx="15">
                  <c:v>641</c:v>
                </c:pt>
                <c:pt idx="16">
                  <c:v>654</c:v>
                </c:pt>
                <c:pt idx="17">
                  <c:v>735</c:v>
                </c:pt>
                <c:pt idx="18">
                  <c:v>735</c:v>
                </c:pt>
                <c:pt idx="19">
                  <c:v>615</c:v>
                </c:pt>
              </c:numCache>
            </c:numRef>
          </c:xVal>
          <c:yVal>
            <c:numRef>
              <c:f>PlotData!$C$2:$C$21</c:f>
              <c:numCache>
                <c:formatCode>General</c:formatCode>
                <c:ptCount val="20"/>
                <c:pt idx="0">
                  <c:v>-10.719366407224413</c:v>
                </c:pt>
                <c:pt idx="1">
                  <c:v>-5.9593105229659074</c:v>
                </c:pt>
                <c:pt idx="2">
                  <c:v>4.5318730074464781</c:v>
                </c:pt>
                <c:pt idx="3">
                  <c:v>0.66961429015860574</c:v>
                </c:pt>
                <c:pt idx="4">
                  <c:v>7.5982648194607378</c:v>
                </c:pt>
                <c:pt idx="5">
                  <c:v>-10.858760242831082</c:v>
                </c:pt>
                <c:pt idx="6">
                  <c:v>10.267685740951634</c:v>
                </c:pt>
                <c:pt idx="7">
                  <c:v>-8.0645458904520098</c:v>
                </c:pt>
                <c:pt idx="8">
                  <c:v>1.8186508718001448</c:v>
                </c:pt>
                <c:pt idx="9">
                  <c:v>0.40707957655828864</c:v>
                </c:pt>
                <c:pt idx="10">
                  <c:v>2.0619000933307063</c:v>
                </c:pt>
                <c:pt idx="11">
                  <c:v>11.377878767121331</c:v>
                </c:pt>
                <c:pt idx="12">
                  <c:v>1.9855929639492444</c:v>
                </c:pt>
                <c:pt idx="13">
                  <c:v>-2.1229475093259254</c:v>
                </c:pt>
                <c:pt idx="14">
                  <c:v>12.04399458282316</c:v>
                </c:pt>
                <c:pt idx="15">
                  <c:v>15.796060273941322</c:v>
                </c:pt>
                <c:pt idx="16">
                  <c:v>-3.4681269925535219</c:v>
                </c:pt>
                <c:pt idx="17">
                  <c:v>-3.3449861145598732</c:v>
                </c:pt>
                <c:pt idx="18">
                  <c:v>-9.3449861145598732</c:v>
                </c:pt>
                <c:pt idx="19">
                  <c:v>-14.675565193068977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30121232"/>
        <c:axId val="-1030113072"/>
      </c:scatterChart>
      <c:valAx>
        <c:axId val="-1030121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-1030113072"/>
        <c:crossesAt val="-20"/>
        <c:crossBetween val="midCat"/>
      </c:valAx>
      <c:valAx>
        <c:axId val="-10301130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-103012123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Normal Probability Plot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Plot!$D$1</c:f>
              <c:strCache>
                <c:ptCount val="1"/>
                <c:pt idx="0">
                  <c:v>Residuals</c:v>
                </c:pt>
              </c:strCache>
            </c:strRef>
          </c:tx>
          <c:spPr>
            <a:ln w="19050">
              <a:noFill/>
            </a:ln>
          </c:spPr>
          <c:xVal>
            <c:numRef>
              <c:f>Plot!$C$2:$C$21</c:f>
              <c:numCache>
                <c:formatCode>General</c:formatCode>
                <c:ptCount val="20"/>
                <c:pt idx="0">
                  <c:v>-1.6683911939470788</c:v>
                </c:pt>
                <c:pt idx="1">
                  <c:v>-1.3091717167857773</c:v>
                </c:pt>
                <c:pt idx="2">
                  <c:v>-1.0675705238781419</c:v>
                </c:pt>
                <c:pt idx="3">
                  <c:v>-0.87614284924684116</c:v>
                </c:pt>
                <c:pt idx="4">
                  <c:v>-0.71244303238948903</c:v>
                </c:pt>
                <c:pt idx="5">
                  <c:v>-0.56594882193286311</c:v>
                </c:pt>
                <c:pt idx="6">
                  <c:v>-0.43072729929545767</c:v>
                </c:pt>
                <c:pt idx="7">
                  <c:v>-0.30298044805620661</c:v>
                </c:pt>
                <c:pt idx="8">
                  <c:v>-0.18001236979270516</c:v>
                </c:pt>
                <c:pt idx="9">
                  <c:v>-5.9717099785322879E-2</c:v>
                </c:pt>
                <c:pt idx="10">
                  <c:v>5.9717099785322879E-2</c:v>
                </c:pt>
                <c:pt idx="11">
                  <c:v>0.18001236979270496</c:v>
                </c:pt>
                <c:pt idx="12">
                  <c:v>0.30298044805620661</c:v>
                </c:pt>
                <c:pt idx="13">
                  <c:v>0.4307272992954575</c:v>
                </c:pt>
                <c:pt idx="14">
                  <c:v>0.56594882193286311</c:v>
                </c:pt>
                <c:pt idx="15">
                  <c:v>0.71244303238948892</c:v>
                </c:pt>
                <c:pt idx="16">
                  <c:v>0.87614284924684116</c:v>
                </c:pt>
                <c:pt idx="17">
                  <c:v>1.0675705238781419</c:v>
                </c:pt>
                <c:pt idx="18">
                  <c:v>1.3091717167857773</c:v>
                </c:pt>
                <c:pt idx="19">
                  <c:v>1.6683911939470786</c:v>
                </c:pt>
              </c:numCache>
            </c:numRef>
          </c:xVal>
          <c:yVal>
            <c:numRef>
              <c:f>Plot!$D$2:$D$21</c:f>
              <c:numCache>
                <c:formatCode>General</c:formatCode>
                <c:ptCount val="20"/>
                <c:pt idx="0">
                  <c:v>-63.344986114559873</c:v>
                </c:pt>
                <c:pt idx="1">
                  <c:v>-58.844986114559873</c:v>
                </c:pt>
                <c:pt idx="2">
                  <c:v>-56.175565193068977</c:v>
                </c:pt>
                <c:pt idx="3">
                  <c:v>-48.014407036050756</c:v>
                </c:pt>
                <c:pt idx="4">
                  <c:v>-46.468126992553522</c:v>
                </c:pt>
                <c:pt idx="5">
                  <c:v>-44.95600541717684</c:v>
                </c:pt>
                <c:pt idx="6">
                  <c:v>-41.622947509325925</c:v>
                </c:pt>
                <c:pt idx="7">
                  <c:v>-40.703939726058678</c:v>
                </c:pt>
                <c:pt idx="8">
                  <c:v>-31.181349128199855</c:v>
                </c:pt>
                <c:pt idx="9">
                  <c:v>-29.122121232878669</c:v>
                </c:pt>
                <c:pt idx="10">
                  <c:v>-14.092920423441711</c:v>
                </c:pt>
                <c:pt idx="11">
                  <c:v>-10.858760242831082</c:v>
                </c:pt>
                <c:pt idx="12">
                  <c:v>-10.719366407224413</c:v>
                </c:pt>
                <c:pt idx="13">
                  <c:v>-9.9380999066692937</c:v>
                </c:pt>
                <c:pt idx="14">
                  <c:v>-5.9593105229659074</c:v>
                </c:pt>
                <c:pt idx="15">
                  <c:v>-2.7323142590483656</c:v>
                </c:pt>
                <c:pt idx="16">
                  <c:v>-2.5645458904520098</c:v>
                </c:pt>
                <c:pt idx="17">
                  <c:v>0.66961429015860574</c:v>
                </c:pt>
                <c:pt idx="18">
                  <c:v>4.5318730074464781</c:v>
                </c:pt>
                <c:pt idx="19">
                  <c:v>7.5982648194607378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30114160"/>
        <c:axId val="-1030119056"/>
      </c:scatterChart>
      <c:valAx>
        <c:axId val="-1030114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Z 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-1030119056"/>
        <c:crossesAt val="-70"/>
        <c:crossBetween val="midCat"/>
      </c:valAx>
      <c:valAx>
        <c:axId val="-10301190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-1030114160"/>
        <c:crossesAt val="-2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Scatter Plot of Runs Scored aganst Wins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Sheet1!$C$1</c:f>
              <c:strCache>
                <c:ptCount val="1"/>
                <c:pt idx="0">
                  <c:v>Wins (Y)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xVal>
            <c:numRef>
              <c:f>Sheet1!$B$2:$B$21</c:f>
              <c:numCache>
                <c:formatCode>General</c:formatCode>
                <c:ptCount val="20"/>
                <c:pt idx="0">
                  <c:v>708</c:v>
                </c:pt>
                <c:pt idx="1">
                  <c:v>875</c:v>
                </c:pt>
                <c:pt idx="2">
                  <c:v>654</c:v>
                </c:pt>
                <c:pt idx="3">
                  <c:v>704</c:v>
                </c:pt>
                <c:pt idx="4">
                  <c:v>787</c:v>
                </c:pt>
                <c:pt idx="5">
                  <c:v>730</c:v>
                </c:pt>
                <c:pt idx="6">
                  <c:v>667</c:v>
                </c:pt>
                <c:pt idx="7">
                  <c:v>619</c:v>
                </c:pt>
                <c:pt idx="8">
                  <c:v>867</c:v>
                </c:pt>
                <c:pt idx="9">
                  <c:v>645</c:v>
                </c:pt>
                <c:pt idx="10">
                  <c:v>556</c:v>
                </c:pt>
                <c:pt idx="11">
                  <c:v>707</c:v>
                </c:pt>
                <c:pt idx="12">
                  <c:v>855</c:v>
                </c:pt>
                <c:pt idx="13">
                  <c:v>743</c:v>
                </c:pt>
                <c:pt idx="14">
                  <c:v>731</c:v>
                </c:pt>
                <c:pt idx="15">
                  <c:v>641</c:v>
                </c:pt>
                <c:pt idx="16">
                  <c:v>654</c:v>
                </c:pt>
                <c:pt idx="17">
                  <c:v>735</c:v>
                </c:pt>
                <c:pt idx="18">
                  <c:v>735</c:v>
                </c:pt>
                <c:pt idx="19">
                  <c:v>615</c:v>
                </c:pt>
              </c:numCache>
            </c:numRef>
          </c:xVal>
          <c:yVal>
            <c:numRef>
              <c:f>Sheet1!$C$2:$C$21</c:f>
              <c:numCache>
                <c:formatCode>General</c:formatCode>
                <c:ptCount val="20"/>
                <c:pt idx="0">
                  <c:v>69</c:v>
                </c:pt>
                <c:pt idx="1">
                  <c:v>90</c:v>
                </c:pt>
                <c:pt idx="2">
                  <c:v>79</c:v>
                </c:pt>
                <c:pt idx="3">
                  <c:v>80</c:v>
                </c:pt>
                <c:pt idx="4">
                  <c:v>95</c:v>
                </c:pt>
                <c:pt idx="5">
                  <c:v>71</c:v>
                </c:pt>
                <c:pt idx="6">
                  <c:v>86</c:v>
                </c:pt>
                <c:pt idx="7">
                  <c:v>63</c:v>
                </c:pt>
                <c:pt idx="8">
                  <c:v>97</c:v>
                </c:pt>
                <c:pt idx="9">
                  <c:v>74</c:v>
                </c:pt>
                <c:pt idx="10">
                  <c:v>67</c:v>
                </c:pt>
                <c:pt idx="11">
                  <c:v>91</c:v>
                </c:pt>
                <c:pt idx="12">
                  <c:v>96</c:v>
                </c:pt>
                <c:pt idx="13">
                  <c:v>81</c:v>
                </c:pt>
                <c:pt idx="14">
                  <c:v>94</c:v>
                </c:pt>
                <c:pt idx="15">
                  <c:v>89</c:v>
                </c:pt>
                <c:pt idx="16">
                  <c:v>71</c:v>
                </c:pt>
                <c:pt idx="17">
                  <c:v>79</c:v>
                </c:pt>
                <c:pt idx="18">
                  <c:v>73</c:v>
                </c:pt>
                <c:pt idx="19">
                  <c:v>56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30116880"/>
        <c:axId val="-1030109808"/>
      </c:scatterChart>
      <c:valAx>
        <c:axId val="-1030116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Runs Scored</a:t>
                </a:r>
              </a:p>
            </c:rich>
          </c:tx>
          <c:layout>
            <c:manualLayout>
              <c:xMode val="edge"/>
              <c:yMode val="edge"/>
              <c:x val="0.3767279090113736"/>
              <c:y val="0.864791484397783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030109808"/>
        <c:crosses val="autoZero"/>
        <c:crossBetween val="midCat"/>
      </c:valAx>
      <c:valAx>
        <c:axId val="-1030109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Wins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0301168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3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7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836" cy="628911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3836" cy="628911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1228725</xdr:colOff>
      <xdr:row>4</xdr:row>
      <xdr:rowOff>90487</xdr:rowOff>
    </xdr:from>
    <xdr:to>
      <xdr:col>14</xdr:col>
      <xdr:colOff>285750</xdr:colOff>
      <xdr:row>18</xdr:row>
      <xdr:rowOff>33337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opLeftCell="A5" workbookViewId="0">
      <selection sqref="A1:B25"/>
    </sheetView>
  </sheetViews>
  <sheetFormatPr defaultRowHeight="15" x14ac:dyDescent="0.25"/>
  <cols>
    <col min="1" max="1" width="35.5703125" bestFit="1" customWidth="1"/>
  </cols>
  <sheetData>
    <row r="1" spans="1:2" x14ac:dyDescent="0.25">
      <c r="A1" s="96" t="s">
        <v>80</v>
      </c>
    </row>
    <row r="3" spans="1:2" x14ac:dyDescent="0.25">
      <c r="A3" s="97" t="s">
        <v>8</v>
      </c>
      <c r="B3" s="97"/>
    </row>
    <row r="4" spans="1:2" x14ac:dyDescent="0.25">
      <c r="A4" s="98" t="s">
        <v>79</v>
      </c>
      <c r="B4" s="99">
        <v>750</v>
      </c>
    </row>
    <row r="5" spans="1:2" x14ac:dyDescent="0.25">
      <c r="A5" s="98" t="s">
        <v>12</v>
      </c>
      <c r="B5" s="100">
        <v>0.95</v>
      </c>
    </row>
    <row r="7" spans="1:2" x14ac:dyDescent="0.25">
      <c r="A7" s="101" t="s">
        <v>13</v>
      </c>
      <c r="B7" s="101"/>
    </row>
    <row r="8" spans="1:2" x14ac:dyDescent="0.25">
      <c r="A8" s="102" t="s">
        <v>11</v>
      </c>
      <c r="B8" s="102">
        <f>COUNT(SLRData2!$A$2:$A$21)</f>
        <v>20</v>
      </c>
    </row>
    <row r="9" spans="1:2" x14ac:dyDescent="0.25">
      <c r="A9" s="102" t="s">
        <v>15</v>
      </c>
      <c r="B9" s="102">
        <f>B8 - 2</f>
        <v>18</v>
      </c>
    </row>
    <row r="10" spans="1:2" x14ac:dyDescent="0.25">
      <c r="A10" s="102" t="s">
        <v>67</v>
      </c>
      <c r="B10" s="102">
        <f>_xlfn.T.INV.2T(1 - B5, B9)</f>
        <v>2.1009220402410378</v>
      </c>
    </row>
    <row r="11" spans="1:2" x14ac:dyDescent="0.25">
      <c r="A11" s="102" t="s">
        <v>68</v>
      </c>
      <c r="B11" s="102">
        <f>AVERAGE(SLRData2!$A$2:$A$21)</f>
        <v>711.4</v>
      </c>
    </row>
    <row r="12" spans="1:2" x14ac:dyDescent="0.25">
      <c r="A12" s="102" t="s">
        <v>69</v>
      </c>
      <c r="B12" s="102">
        <f>DEVSQ(SLRData2!$A$2:$A$21)</f>
        <v>140146.80000000002</v>
      </c>
    </row>
    <row r="13" spans="1:2" x14ac:dyDescent="0.25">
      <c r="A13" s="102" t="s">
        <v>70</v>
      </c>
      <c r="B13" s="102">
        <f>COMPUTE2!$B$7</f>
        <v>8.767472766841113</v>
      </c>
    </row>
    <row r="14" spans="1:2" x14ac:dyDescent="0.25">
      <c r="A14" s="102" t="s">
        <v>71</v>
      </c>
      <c r="B14" s="102">
        <f>1/B8+(B4-B11)^2/B12</f>
        <v>6.0631423621516883E-2</v>
      </c>
    </row>
    <row r="15" spans="1:2" x14ac:dyDescent="0.25">
      <c r="A15" s="102" t="s">
        <v>72</v>
      </c>
      <c r="B15" s="102">
        <f>TREND(SLRData2!$B$2:$B$21,SLRData2!$A$2:$A$21, B4)</f>
        <v>83.803663729746233</v>
      </c>
    </row>
    <row r="17" spans="1:2" x14ac:dyDescent="0.25">
      <c r="A17" s="103" t="s">
        <v>73</v>
      </c>
      <c r="B17" s="103"/>
    </row>
    <row r="18" spans="1:2" x14ac:dyDescent="0.25">
      <c r="A18" s="104" t="s">
        <v>17</v>
      </c>
      <c r="B18" s="106">
        <f>B10 * B13 * SQRT(B14)</f>
        <v>4.5355843230221193</v>
      </c>
    </row>
    <row r="19" spans="1:2" x14ac:dyDescent="0.25">
      <c r="A19" s="105" t="s">
        <v>74</v>
      </c>
      <c r="B19" s="107">
        <f>B15 - B18</f>
        <v>79.268079406724112</v>
      </c>
    </row>
    <row r="20" spans="1:2" x14ac:dyDescent="0.25">
      <c r="A20" s="105" t="s">
        <v>75</v>
      </c>
      <c r="B20" s="105">
        <f>B15 + B18</f>
        <v>88.339248052768355</v>
      </c>
    </row>
    <row r="22" spans="1:2" x14ac:dyDescent="0.25">
      <c r="A22" s="103" t="s">
        <v>76</v>
      </c>
      <c r="B22" s="108"/>
    </row>
    <row r="23" spans="1:2" x14ac:dyDescent="0.25">
      <c r="A23" s="104" t="s">
        <v>17</v>
      </c>
      <c r="B23" s="106">
        <f>B10 * B13 * SQRT(1 + B14)</f>
        <v>18.96996841117447</v>
      </c>
    </row>
    <row r="24" spans="1:2" x14ac:dyDescent="0.25">
      <c r="A24" s="105" t="s">
        <v>77</v>
      </c>
      <c r="B24" s="107">
        <f>B15 - B23</f>
        <v>64.833695318571756</v>
      </c>
    </row>
    <row r="25" spans="1:2" x14ac:dyDescent="0.25">
      <c r="A25" s="105" t="s">
        <v>78</v>
      </c>
      <c r="B25" s="105">
        <f>B15 + B23</f>
        <v>102.77363214092071</v>
      </c>
    </row>
  </sheetData>
  <mergeCells count="4">
    <mergeCell ref="A3:B3"/>
    <mergeCell ref="A7:B7"/>
    <mergeCell ref="A17:B17"/>
    <mergeCell ref="A22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708</v>
      </c>
      <c r="B2">
        <v>69</v>
      </c>
    </row>
    <row r="3" spans="1:2" x14ac:dyDescent="0.25">
      <c r="A3">
        <v>875</v>
      </c>
      <c r="B3">
        <v>90</v>
      </c>
    </row>
    <row r="4" spans="1:2" x14ac:dyDescent="0.25">
      <c r="A4">
        <v>654</v>
      </c>
      <c r="B4">
        <v>79</v>
      </c>
    </row>
    <row r="5" spans="1:2" x14ac:dyDescent="0.25">
      <c r="A5">
        <v>704</v>
      </c>
      <c r="B5">
        <v>80</v>
      </c>
    </row>
    <row r="6" spans="1:2" x14ac:dyDescent="0.25">
      <c r="A6">
        <v>787</v>
      </c>
      <c r="B6">
        <v>95</v>
      </c>
    </row>
    <row r="7" spans="1:2" x14ac:dyDescent="0.25">
      <c r="A7">
        <v>730</v>
      </c>
      <c r="B7">
        <v>71</v>
      </c>
    </row>
    <row r="8" spans="1:2" x14ac:dyDescent="0.25">
      <c r="A8">
        <v>667</v>
      </c>
      <c r="B8">
        <v>86</v>
      </c>
    </row>
    <row r="9" spans="1:2" x14ac:dyDescent="0.25">
      <c r="A9">
        <v>619</v>
      </c>
      <c r="B9">
        <v>63</v>
      </c>
    </row>
    <row r="10" spans="1:2" x14ac:dyDescent="0.25">
      <c r="A10">
        <v>867</v>
      </c>
      <c r="B10">
        <v>97</v>
      </c>
    </row>
    <row r="11" spans="1:2" x14ac:dyDescent="0.25">
      <c r="A11">
        <v>645</v>
      </c>
      <c r="B11">
        <v>74</v>
      </c>
    </row>
    <row r="12" spans="1:2" x14ac:dyDescent="0.25">
      <c r="A12">
        <v>556</v>
      </c>
      <c r="B12">
        <v>67</v>
      </c>
    </row>
    <row r="13" spans="1:2" x14ac:dyDescent="0.25">
      <c r="A13">
        <v>707</v>
      </c>
      <c r="B13">
        <v>91</v>
      </c>
    </row>
    <row r="14" spans="1:2" x14ac:dyDescent="0.25">
      <c r="A14">
        <v>855</v>
      </c>
      <c r="B14">
        <v>96</v>
      </c>
    </row>
    <row r="15" spans="1:2" x14ac:dyDescent="0.25">
      <c r="A15">
        <v>743</v>
      </c>
      <c r="B15">
        <v>81</v>
      </c>
    </row>
    <row r="16" spans="1:2" x14ac:dyDescent="0.25">
      <c r="A16">
        <v>731</v>
      </c>
      <c r="B16">
        <v>94</v>
      </c>
    </row>
    <row r="17" spans="1:2" x14ac:dyDescent="0.25">
      <c r="A17">
        <v>641</v>
      </c>
      <c r="B17">
        <v>89</v>
      </c>
    </row>
    <row r="18" spans="1:2" x14ac:dyDescent="0.25">
      <c r="A18">
        <v>654</v>
      </c>
      <c r="B18">
        <v>71</v>
      </c>
    </row>
    <row r="19" spans="1:2" x14ac:dyDescent="0.25">
      <c r="A19">
        <v>735</v>
      </c>
      <c r="B19">
        <v>79</v>
      </c>
    </row>
    <row r="20" spans="1:2" x14ac:dyDescent="0.25">
      <c r="A20">
        <v>735</v>
      </c>
      <c r="B20">
        <v>73</v>
      </c>
    </row>
    <row r="21" spans="1:2" x14ac:dyDescent="0.25">
      <c r="A21">
        <v>615</v>
      </c>
      <c r="B21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P38"/>
  <sheetViews>
    <sheetView workbookViewId="0">
      <selection activeCell="A2" sqref="A2"/>
    </sheetView>
  </sheetViews>
  <sheetFormatPr defaultRowHeight="15" x14ac:dyDescent="0.25"/>
  <cols>
    <col min="1" max="1" width="17.42578125" style="75" customWidth="1"/>
    <col min="2" max="2" width="6.5703125" style="75" bestFit="1" customWidth="1"/>
    <col min="3" max="3" width="14.85546875" style="75" bestFit="1" customWidth="1"/>
    <col min="4" max="4" width="9.5703125" style="75" customWidth="1"/>
    <col min="5" max="5" width="8.5703125" style="75" customWidth="1"/>
    <col min="6" max="6" width="14.42578125" style="75" bestFit="1" customWidth="1"/>
    <col min="7" max="7" width="11" style="75" customWidth="1"/>
    <col min="8" max="8" width="12.7109375" style="75" bestFit="1" customWidth="1"/>
    <col min="9" max="9" width="12.5703125" style="75" bestFit="1" customWidth="1"/>
    <col min="10" max="10" width="2.85546875" style="75" customWidth="1"/>
    <col min="11" max="11" width="25.42578125" style="75" customWidth="1"/>
    <col min="12" max="12" width="12.5703125" style="75" customWidth="1"/>
    <col min="13" max="14" width="9.140625" style="75"/>
    <col min="15" max="15" width="22.7109375" style="75" customWidth="1"/>
    <col min="16" max="16384" width="9.140625" style="75"/>
  </cols>
  <sheetData>
    <row r="1" spans="1:16" ht="15" customHeight="1" thickBot="1" x14ac:dyDescent="0.3">
      <c r="A1" s="70" t="s">
        <v>63</v>
      </c>
      <c r="B1" s="70"/>
      <c r="C1" s="70"/>
      <c r="D1" s="70"/>
      <c r="E1" s="70"/>
      <c r="F1" s="70"/>
      <c r="G1" s="70"/>
      <c r="H1" s="70"/>
      <c r="I1" s="70"/>
      <c r="J1" s="70"/>
      <c r="K1" s="71" t="s">
        <v>47</v>
      </c>
      <c r="L1" s="72"/>
      <c r="M1" s="72"/>
      <c r="N1" s="73"/>
      <c r="O1" s="74"/>
    </row>
    <row r="2" spans="1:16" ht="15" customHeight="1" thickBot="1" x14ac:dyDescent="0.3">
      <c r="A2" s="70"/>
      <c r="B2" s="70"/>
      <c r="C2" s="70"/>
      <c r="D2" s="70"/>
      <c r="E2" s="70"/>
      <c r="F2" s="70"/>
      <c r="G2" s="70"/>
      <c r="H2" s="70"/>
      <c r="I2" s="70"/>
      <c r="J2" s="70"/>
      <c r="K2" s="76" t="s">
        <v>48</v>
      </c>
      <c r="L2" s="77">
        <f t="array" ref="L2:M6">LINEST(SLRData2!$B$2:$B$21, SLRData2!$A$2:$A$21,TRUE,TRUE)</f>
        <v>9.7245174345757426E-2</v>
      </c>
      <c r="M2" s="78">
        <v>10.869782970428162</v>
      </c>
      <c r="N2" s="79"/>
      <c r="O2" s="74"/>
      <c r="P2" s="74"/>
    </row>
    <row r="3" spans="1:16" ht="15" customHeight="1" x14ac:dyDescent="0.25">
      <c r="A3" s="80" t="s">
        <v>49</v>
      </c>
      <c r="B3" s="80"/>
      <c r="C3" s="70"/>
      <c r="D3" s="70"/>
      <c r="E3" s="70"/>
      <c r="F3" s="70"/>
      <c r="G3" s="70"/>
      <c r="H3" s="70"/>
      <c r="I3" s="70"/>
      <c r="J3" s="70"/>
      <c r="K3" s="76" t="s">
        <v>50</v>
      </c>
      <c r="L3" s="81">
        <v>2.3419781161374244E-2</v>
      </c>
      <c r="M3" s="82">
        <v>16.775779042151726</v>
      </c>
      <c r="N3" s="79"/>
      <c r="O3" s="74"/>
      <c r="P3" s="74"/>
    </row>
    <row r="4" spans="1:16" ht="15" customHeight="1" x14ac:dyDescent="0.25">
      <c r="A4" s="83" t="s">
        <v>51</v>
      </c>
      <c r="B4" s="84">
        <v>0.69945399917860163</v>
      </c>
      <c r="C4" s="70"/>
      <c r="D4" s="70"/>
      <c r="E4" s="70"/>
      <c r="F4" s="85"/>
      <c r="G4" s="70"/>
      <c r="H4" s="70"/>
      <c r="I4" s="70"/>
      <c r="J4" s="70"/>
      <c r="K4" s="32" t="s">
        <v>52</v>
      </c>
      <c r="L4" s="81">
        <v>0.4892358969669392</v>
      </c>
      <c r="M4" s="82">
        <v>8.767472766841113</v>
      </c>
      <c r="N4" s="79"/>
      <c r="O4" s="73"/>
      <c r="P4" s="74"/>
    </row>
    <row r="5" spans="1:16" ht="15" customHeight="1" x14ac:dyDescent="0.25">
      <c r="A5" s="83" t="s">
        <v>53</v>
      </c>
      <c r="B5" s="84">
        <v>0.4892358969669392</v>
      </c>
      <c r="C5" s="70"/>
      <c r="D5" s="70"/>
      <c r="E5" s="70"/>
      <c r="F5" s="85"/>
      <c r="G5" s="70"/>
      <c r="H5" s="70"/>
      <c r="I5" s="70"/>
      <c r="J5" s="70"/>
      <c r="K5" s="76" t="s">
        <v>54</v>
      </c>
      <c r="L5" s="81">
        <v>17.241317651555661</v>
      </c>
      <c r="M5" s="82">
        <v>18</v>
      </c>
      <c r="N5" s="79"/>
      <c r="O5" s="74"/>
      <c r="P5" s="74"/>
    </row>
    <row r="6" spans="1:16" ht="15" customHeight="1" thickBot="1" x14ac:dyDescent="0.3">
      <c r="A6" s="83" t="s">
        <v>55</v>
      </c>
      <c r="B6" s="84">
        <v>0.46086011346510236</v>
      </c>
      <c r="C6" s="70"/>
      <c r="D6" s="70"/>
      <c r="E6" s="70"/>
      <c r="F6" s="70"/>
      <c r="G6" s="70"/>
      <c r="H6" s="70"/>
      <c r="I6" s="70"/>
      <c r="J6" s="70"/>
      <c r="K6" s="32" t="s">
        <v>56</v>
      </c>
      <c r="L6" s="86">
        <v>1325.3155830885898</v>
      </c>
      <c r="M6" s="87">
        <v>1383.63441691141</v>
      </c>
      <c r="N6" s="79"/>
      <c r="O6" s="74"/>
      <c r="P6" s="74"/>
    </row>
    <row r="7" spans="1:16" ht="15" customHeight="1" x14ac:dyDescent="0.25">
      <c r="A7" s="83" t="s">
        <v>57</v>
      </c>
      <c r="B7" s="84">
        <f>M4</f>
        <v>8.767472766841113</v>
      </c>
      <c r="C7" s="70"/>
      <c r="D7" s="70"/>
      <c r="E7" s="70"/>
      <c r="F7" s="70"/>
      <c r="G7" s="70"/>
      <c r="H7" s="70"/>
      <c r="I7" s="70"/>
      <c r="J7" s="70"/>
      <c r="K7" s="74"/>
      <c r="L7" s="74"/>
      <c r="M7" s="74"/>
      <c r="N7" s="74"/>
      <c r="O7" s="74"/>
    </row>
    <row r="8" spans="1:16" ht="15" customHeight="1" thickBot="1" x14ac:dyDescent="0.3">
      <c r="A8" s="88" t="s">
        <v>58</v>
      </c>
      <c r="B8" s="88">
        <f>COUNT(SLRData2!$A:$A)</f>
        <v>20</v>
      </c>
      <c r="C8" s="70"/>
      <c r="D8" s="70"/>
      <c r="E8" s="70"/>
      <c r="F8" s="70"/>
      <c r="G8" s="70"/>
      <c r="H8" s="70"/>
      <c r="I8" s="70"/>
      <c r="J8" s="70"/>
      <c r="K8" s="89" t="s">
        <v>59</v>
      </c>
      <c r="L8" s="90">
        <v>0.95</v>
      </c>
      <c r="M8" s="74"/>
      <c r="N8" s="74"/>
      <c r="O8" s="74"/>
    </row>
    <row r="9" spans="1:16" ht="15" customHeight="1" x14ac:dyDescent="0.25">
      <c r="A9" s="70"/>
      <c r="B9" s="70"/>
      <c r="C9" s="70"/>
      <c r="D9" s="70"/>
      <c r="E9" s="70"/>
      <c r="F9" s="70"/>
      <c r="G9" s="70"/>
      <c r="H9" s="70"/>
      <c r="I9" s="70"/>
      <c r="J9" s="70"/>
      <c r="K9" s="91" t="s">
        <v>60</v>
      </c>
      <c r="L9" s="92">
        <v>2.1009220402410378</v>
      </c>
      <c r="M9" s="74"/>
      <c r="N9" s="74"/>
      <c r="O9" s="74"/>
    </row>
    <row r="10" spans="1:16" ht="15" customHeight="1" x14ac:dyDescent="0.25">
      <c r="J10" s="70"/>
      <c r="K10" s="89" t="s">
        <v>61</v>
      </c>
      <c r="L10" s="92">
        <v>35.244603931870245</v>
      </c>
      <c r="M10" s="74"/>
      <c r="N10" s="74"/>
      <c r="O10" s="74"/>
    </row>
    <row r="11" spans="1:16" ht="15" customHeight="1" x14ac:dyDescent="0.25">
      <c r="K11" s="89" t="s">
        <v>62</v>
      </c>
      <c r="L11" s="92">
        <v>4.9203134419552999E-2</v>
      </c>
    </row>
    <row r="12" spans="1:16" ht="15" customHeight="1" x14ac:dyDescent="0.25"/>
    <row r="13" spans="1:16" ht="15" customHeight="1" x14ac:dyDescent="0.25"/>
    <row r="14" spans="1:16" ht="15" customHeight="1" x14ac:dyDescent="0.25">
      <c r="F14" s="95"/>
      <c r="G14" s="95"/>
    </row>
    <row r="15" spans="1:16" ht="15" customHeight="1" x14ac:dyDescent="0.25">
      <c r="J15" s="70"/>
    </row>
    <row r="16" spans="1:16" ht="15" customHeight="1" x14ac:dyDescent="0.25">
      <c r="J16" s="93"/>
    </row>
    <row r="17" spans="10:10" ht="15" customHeight="1" x14ac:dyDescent="0.25">
      <c r="J17" s="94"/>
    </row>
    <row r="18" spans="10:10" ht="15" customHeight="1" x14ac:dyDescent="0.25">
      <c r="J18" s="94"/>
    </row>
    <row r="19" spans="10:10" x14ac:dyDescent="0.25">
      <c r="J19" s="70"/>
    </row>
    <row r="20" spans="10:10" x14ac:dyDescent="0.25">
      <c r="J20" s="70"/>
    </row>
    <row r="21" spans="10:10" x14ac:dyDescent="0.25">
      <c r="J21" s="70"/>
    </row>
    <row r="22" spans="10:10" x14ac:dyDescent="0.25">
      <c r="J22" s="70"/>
    </row>
    <row r="23" spans="10:10" x14ac:dyDescent="0.25">
      <c r="J23" s="70"/>
    </row>
    <row r="24" spans="10:10" x14ac:dyDescent="0.25">
      <c r="J24" s="70"/>
    </row>
    <row r="25" spans="10:10" x14ac:dyDescent="0.25">
      <c r="J25" s="70"/>
    </row>
    <row r="26" spans="10:10" x14ac:dyDescent="0.25">
      <c r="J26" s="70"/>
    </row>
    <row r="27" spans="10:10" x14ac:dyDescent="0.25">
      <c r="J27" s="70"/>
    </row>
    <row r="28" spans="10:10" x14ac:dyDescent="0.25">
      <c r="J28" s="70"/>
    </row>
    <row r="29" spans="10:10" x14ac:dyDescent="0.25">
      <c r="J29" s="70"/>
    </row>
    <row r="30" spans="10:10" x14ac:dyDescent="0.25">
      <c r="J30" s="70"/>
    </row>
    <row r="31" spans="10:10" x14ac:dyDescent="0.25">
      <c r="J31" s="70"/>
    </row>
    <row r="32" spans="10:10" x14ac:dyDescent="0.25">
      <c r="J32" s="70"/>
    </row>
    <row r="33" spans="10:10" x14ac:dyDescent="0.25">
      <c r="J33" s="70"/>
    </row>
    <row r="34" spans="10:10" x14ac:dyDescent="0.25">
      <c r="J34" s="70"/>
    </row>
    <row r="35" spans="10:10" x14ac:dyDescent="0.25">
      <c r="J35" s="70"/>
    </row>
    <row r="36" spans="10:10" x14ac:dyDescent="0.25">
      <c r="J36" s="93"/>
    </row>
    <row r="37" spans="10:10" x14ac:dyDescent="0.25">
      <c r="J37" s="94"/>
    </row>
    <row r="38" spans="10:10" x14ac:dyDescent="0.25">
      <c r="J38" s="94"/>
    </row>
  </sheetData>
  <mergeCells count="1">
    <mergeCell ref="K1:M1"/>
  </mergeCells>
  <pageMargins left="0.7" right="0.7" top="0.75" bottom="0.75" header="0.3" footer="0.3"/>
  <pageSetup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workbookViewId="0"/>
  </sheetViews>
  <sheetFormatPr defaultRowHeight="15" x14ac:dyDescent="0.25"/>
  <sheetData>
    <row r="1" spans="2:3" x14ac:dyDescent="0.25">
      <c r="B1" t="s">
        <v>0</v>
      </c>
      <c r="C1" t="s">
        <v>66</v>
      </c>
    </row>
    <row r="2" spans="2:3" x14ac:dyDescent="0.25">
      <c r="B2">
        <v>708</v>
      </c>
      <c r="C2">
        <v>-10.719366407224413</v>
      </c>
    </row>
    <row r="3" spans="2:3" x14ac:dyDescent="0.25">
      <c r="B3">
        <v>875</v>
      </c>
      <c r="C3">
        <v>-5.9593105229659074</v>
      </c>
    </row>
    <row r="4" spans="2:3" x14ac:dyDescent="0.25">
      <c r="B4">
        <v>654</v>
      </c>
      <c r="C4">
        <v>4.5318730074464781</v>
      </c>
    </row>
    <row r="5" spans="2:3" x14ac:dyDescent="0.25">
      <c r="B5">
        <v>704</v>
      </c>
      <c r="C5">
        <v>0.66961429015860574</v>
      </c>
    </row>
    <row r="6" spans="2:3" x14ac:dyDescent="0.25">
      <c r="B6">
        <v>787</v>
      </c>
      <c r="C6">
        <v>7.5982648194607378</v>
      </c>
    </row>
    <row r="7" spans="2:3" x14ac:dyDescent="0.25">
      <c r="B7">
        <v>730</v>
      </c>
      <c r="C7">
        <v>-10.858760242831082</v>
      </c>
    </row>
    <row r="8" spans="2:3" x14ac:dyDescent="0.25">
      <c r="B8">
        <v>667</v>
      </c>
      <c r="C8">
        <v>10.267685740951634</v>
      </c>
    </row>
    <row r="9" spans="2:3" x14ac:dyDescent="0.25">
      <c r="B9">
        <v>619</v>
      </c>
      <c r="C9">
        <v>-8.0645458904520098</v>
      </c>
    </row>
    <row r="10" spans="2:3" x14ac:dyDescent="0.25">
      <c r="B10">
        <v>867</v>
      </c>
      <c r="C10">
        <v>1.8186508718001448</v>
      </c>
    </row>
    <row r="11" spans="2:3" x14ac:dyDescent="0.25">
      <c r="B11">
        <v>645</v>
      </c>
      <c r="C11">
        <v>0.40707957655828864</v>
      </c>
    </row>
    <row r="12" spans="2:3" x14ac:dyDescent="0.25">
      <c r="B12">
        <v>556</v>
      </c>
      <c r="C12">
        <v>2.0619000933307063</v>
      </c>
    </row>
    <row r="13" spans="2:3" x14ac:dyDescent="0.25">
      <c r="B13">
        <v>707</v>
      </c>
      <c r="C13">
        <v>11.377878767121331</v>
      </c>
    </row>
    <row r="14" spans="2:3" x14ac:dyDescent="0.25">
      <c r="B14">
        <v>855</v>
      </c>
      <c r="C14">
        <v>1.9855929639492444</v>
      </c>
    </row>
    <row r="15" spans="2:3" x14ac:dyDescent="0.25">
      <c r="B15">
        <v>743</v>
      </c>
      <c r="C15">
        <v>-2.1229475093259254</v>
      </c>
    </row>
    <row r="16" spans="2:3" x14ac:dyDescent="0.25">
      <c r="B16">
        <v>731</v>
      </c>
      <c r="C16">
        <v>12.04399458282316</v>
      </c>
    </row>
    <row r="17" spans="2:3" x14ac:dyDescent="0.25">
      <c r="B17">
        <v>641</v>
      </c>
      <c r="C17">
        <v>15.796060273941322</v>
      </c>
    </row>
    <row r="18" spans="2:3" x14ac:dyDescent="0.25">
      <c r="B18">
        <v>654</v>
      </c>
      <c r="C18">
        <v>-3.4681269925535219</v>
      </c>
    </row>
    <row r="19" spans="2:3" x14ac:dyDescent="0.25">
      <c r="B19">
        <v>735</v>
      </c>
      <c r="C19">
        <v>-3.3449861145598732</v>
      </c>
    </row>
    <row r="20" spans="2:3" x14ac:dyDescent="0.25">
      <c r="B20">
        <v>735</v>
      </c>
      <c r="C20">
        <v>-9.3449861145598732</v>
      </c>
    </row>
    <row r="21" spans="2:3" x14ac:dyDescent="0.25">
      <c r="B21">
        <v>615</v>
      </c>
      <c r="C21">
        <v>-14.675565193068977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x14ac:dyDescent="0.25"/>
  <sheetData>
    <row r="1" spans="1:4" x14ac:dyDescent="0.25">
      <c r="A1" t="s">
        <v>81</v>
      </c>
      <c r="B1" t="s">
        <v>82</v>
      </c>
      <c r="C1" t="s">
        <v>26</v>
      </c>
      <c r="D1" t="s">
        <v>66</v>
      </c>
    </row>
    <row r="2" spans="1:4" x14ac:dyDescent="0.25">
      <c r="A2">
        <v>1</v>
      </c>
      <c r="B2">
        <f>A2/21</f>
        <v>4.7619047619047616E-2</v>
      </c>
      <c r="C2">
        <f>_xlfn.NORM.S.INV(B2)</f>
        <v>-1.6683911939470788</v>
      </c>
      <c r="D2">
        <v>-63.344986114559873</v>
      </c>
    </row>
    <row r="3" spans="1:4" x14ac:dyDescent="0.25">
      <c r="A3">
        <v>2</v>
      </c>
      <c r="B3">
        <f>A3/21</f>
        <v>9.5238095238095233E-2</v>
      </c>
      <c r="C3">
        <f>_xlfn.NORM.S.INV(B3)</f>
        <v>-1.3091717167857773</v>
      </c>
      <c r="D3">
        <v>-58.844986114559873</v>
      </c>
    </row>
    <row r="4" spans="1:4" x14ac:dyDescent="0.25">
      <c r="A4">
        <v>3</v>
      </c>
      <c r="B4">
        <f>A4/21</f>
        <v>0.14285714285714285</v>
      </c>
      <c r="C4">
        <f>_xlfn.NORM.S.INV(B4)</f>
        <v>-1.0675705238781419</v>
      </c>
      <c r="D4">
        <v>-56.175565193068977</v>
      </c>
    </row>
    <row r="5" spans="1:4" x14ac:dyDescent="0.25">
      <c r="A5">
        <v>4</v>
      </c>
      <c r="B5">
        <f>A5/21</f>
        <v>0.19047619047619047</v>
      </c>
      <c r="C5">
        <f>_xlfn.NORM.S.INV(B5)</f>
        <v>-0.87614284924684116</v>
      </c>
      <c r="D5">
        <v>-48.014407036050756</v>
      </c>
    </row>
    <row r="6" spans="1:4" x14ac:dyDescent="0.25">
      <c r="A6">
        <v>5</v>
      </c>
      <c r="B6">
        <f>A6/21</f>
        <v>0.23809523809523808</v>
      </c>
      <c r="C6">
        <f>_xlfn.NORM.S.INV(B6)</f>
        <v>-0.71244303238948903</v>
      </c>
      <c r="D6">
        <v>-46.468126992553522</v>
      </c>
    </row>
    <row r="7" spans="1:4" x14ac:dyDescent="0.25">
      <c r="A7">
        <v>6</v>
      </c>
      <c r="B7">
        <f>A7/21</f>
        <v>0.2857142857142857</v>
      </c>
      <c r="C7">
        <f>_xlfn.NORM.S.INV(B7)</f>
        <v>-0.56594882193286311</v>
      </c>
      <c r="D7">
        <v>-44.95600541717684</v>
      </c>
    </row>
    <row r="8" spans="1:4" x14ac:dyDescent="0.25">
      <c r="A8">
        <v>7</v>
      </c>
      <c r="B8">
        <f>A8/21</f>
        <v>0.33333333333333331</v>
      </c>
      <c r="C8">
        <f>_xlfn.NORM.S.INV(B8)</f>
        <v>-0.43072729929545767</v>
      </c>
      <c r="D8">
        <v>-41.622947509325925</v>
      </c>
    </row>
    <row r="9" spans="1:4" x14ac:dyDescent="0.25">
      <c r="A9">
        <v>8</v>
      </c>
      <c r="B9">
        <f>A9/21</f>
        <v>0.38095238095238093</v>
      </c>
      <c r="C9">
        <f>_xlfn.NORM.S.INV(B9)</f>
        <v>-0.30298044805620661</v>
      </c>
      <c r="D9">
        <v>-40.703939726058678</v>
      </c>
    </row>
    <row r="10" spans="1:4" x14ac:dyDescent="0.25">
      <c r="A10">
        <v>9</v>
      </c>
      <c r="B10">
        <f>A10/21</f>
        <v>0.42857142857142855</v>
      </c>
      <c r="C10">
        <f>_xlfn.NORM.S.INV(B10)</f>
        <v>-0.18001236979270516</v>
      </c>
      <c r="D10">
        <v>-31.181349128199855</v>
      </c>
    </row>
    <row r="11" spans="1:4" x14ac:dyDescent="0.25">
      <c r="A11">
        <v>10</v>
      </c>
      <c r="B11">
        <f>A11/21</f>
        <v>0.47619047619047616</v>
      </c>
      <c r="C11">
        <f>_xlfn.NORM.S.INV(B11)</f>
        <v>-5.9717099785322879E-2</v>
      </c>
      <c r="D11">
        <v>-29.122121232878669</v>
      </c>
    </row>
    <row r="12" spans="1:4" x14ac:dyDescent="0.25">
      <c r="A12">
        <v>11</v>
      </c>
      <c r="B12">
        <f>A12/21</f>
        <v>0.52380952380952384</v>
      </c>
      <c r="C12">
        <f>_xlfn.NORM.S.INV(B12)</f>
        <v>5.9717099785322879E-2</v>
      </c>
      <c r="D12">
        <v>-14.092920423441711</v>
      </c>
    </row>
    <row r="13" spans="1:4" x14ac:dyDescent="0.25">
      <c r="A13">
        <v>12</v>
      </c>
      <c r="B13">
        <f>A13/21</f>
        <v>0.5714285714285714</v>
      </c>
      <c r="C13">
        <f>_xlfn.NORM.S.INV(B13)</f>
        <v>0.18001236979270496</v>
      </c>
      <c r="D13">
        <v>-10.858760242831082</v>
      </c>
    </row>
    <row r="14" spans="1:4" x14ac:dyDescent="0.25">
      <c r="A14">
        <v>13</v>
      </c>
      <c r="B14">
        <f>A14/21</f>
        <v>0.61904761904761907</v>
      </c>
      <c r="C14">
        <f>_xlfn.NORM.S.INV(B14)</f>
        <v>0.30298044805620661</v>
      </c>
      <c r="D14">
        <v>-10.719366407224413</v>
      </c>
    </row>
    <row r="15" spans="1:4" x14ac:dyDescent="0.25">
      <c r="A15">
        <v>14</v>
      </c>
      <c r="B15">
        <f>A15/21</f>
        <v>0.66666666666666663</v>
      </c>
      <c r="C15">
        <f>_xlfn.NORM.S.INV(B15)</f>
        <v>0.4307272992954575</v>
      </c>
      <c r="D15">
        <v>-9.9380999066692937</v>
      </c>
    </row>
    <row r="16" spans="1:4" x14ac:dyDescent="0.25">
      <c r="A16">
        <v>15</v>
      </c>
      <c r="B16">
        <f>A16/21</f>
        <v>0.7142857142857143</v>
      </c>
      <c r="C16">
        <f>_xlfn.NORM.S.INV(B16)</f>
        <v>0.56594882193286311</v>
      </c>
      <c r="D16">
        <v>-5.9593105229659074</v>
      </c>
    </row>
    <row r="17" spans="1:4" x14ac:dyDescent="0.25">
      <c r="A17">
        <v>16</v>
      </c>
      <c r="B17">
        <f>A17/21</f>
        <v>0.76190476190476186</v>
      </c>
      <c r="C17">
        <f>_xlfn.NORM.S.INV(B17)</f>
        <v>0.71244303238948892</v>
      </c>
      <c r="D17">
        <v>-2.7323142590483656</v>
      </c>
    </row>
    <row r="18" spans="1:4" x14ac:dyDescent="0.25">
      <c r="A18">
        <v>17</v>
      </c>
      <c r="B18">
        <f>A18/21</f>
        <v>0.80952380952380953</v>
      </c>
      <c r="C18">
        <f>_xlfn.NORM.S.INV(B18)</f>
        <v>0.87614284924684116</v>
      </c>
      <c r="D18">
        <v>-2.5645458904520098</v>
      </c>
    </row>
    <row r="19" spans="1:4" x14ac:dyDescent="0.25">
      <c r="A19">
        <v>18</v>
      </c>
      <c r="B19">
        <f>A19/21</f>
        <v>0.8571428571428571</v>
      </c>
      <c r="C19">
        <f>_xlfn.NORM.S.INV(B19)</f>
        <v>1.0675705238781419</v>
      </c>
      <c r="D19">
        <v>0.66961429015860574</v>
      </c>
    </row>
    <row r="20" spans="1:4" x14ac:dyDescent="0.25">
      <c r="A20">
        <v>19</v>
      </c>
      <c r="B20">
        <f>A20/21</f>
        <v>0.90476190476190477</v>
      </c>
      <c r="C20">
        <f>_xlfn.NORM.S.INV(B20)</f>
        <v>1.3091717167857773</v>
      </c>
      <c r="D20">
        <v>4.5318730074464781</v>
      </c>
    </row>
    <row r="21" spans="1:4" x14ac:dyDescent="0.25">
      <c r="A21">
        <v>20</v>
      </c>
      <c r="B21">
        <f>A21/21</f>
        <v>0.95238095238095233</v>
      </c>
      <c r="C21">
        <f>_xlfn.NORM.S.INV(B21)</f>
        <v>1.6683911939470786</v>
      </c>
      <c r="D21">
        <v>7.5982648194607378</v>
      </c>
    </row>
  </sheetData>
  <sortState ref="D2:D21">
    <sortCondition ref="D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I8" sqref="I8"/>
    </sheetView>
  </sheetViews>
  <sheetFormatPr defaultRowHeight="15" x14ac:dyDescent="0.25"/>
  <cols>
    <col min="1" max="1" width="11.85546875" bestFit="1" customWidth="1"/>
    <col min="2" max="2" width="14.85546875" bestFit="1" customWidth="1"/>
    <col min="3" max="3" width="12" bestFit="1" customWidth="1"/>
    <col min="4" max="4" width="8.28515625" bestFit="1" customWidth="1"/>
    <col min="5" max="5" width="12.7109375" bestFit="1" customWidth="1"/>
  </cols>
  <sheetData>
    <row r="1" spans="1:5" x14ac:dyDescent="0.25">
      <c r="A1" t="s">
        <v>64</v>
      </c>
      <c r="B1" t="s">
        <v>0</v>
      </c>
      <c r="C1" t="s">
        <v>65</v>
      </c>
      <c r="D1" t="s">
        <v>1</v>
      </c>
      <c r="E1" t="s">
        <v>66</v>
      </c>
    </row>
    <row r="2" spans="1:5" x14ac:dyDescent="0.25">
      <c r="A2">
        <v>1</v>
      </c>
      <c r="B2">
        <v>708</v>
      </c>
      <c r="C2">
        <f>COMPUTE!L2 * B2 + COMPUTE!M2</f>
        <v>79.719366407224413</v>
      </c>
      <c r="D2">
        <v>69</v>
      </c>
      <c r="E2">
        <f>D2 - C2</f>
        <v>-10.719366407224413</v>
      </c>
    </row>
    <row r="3" spans="1:5" x14ac:dyDescent="0.25">
      <c r="A3">
        <v>2</v>
      </c>
      <c r="B3">
        <v>875</v>
      </c>
      <c r="C3">
        <f>COMPUTE!L2 * B3 + COMPUTE!M2</f>
        <v>95.959310522965907</v>
      </c>
      <c r="D3">
        <v>90</v>
      </c>
      <c r="E3">
        <f t="shared" ref="E3:E21" si="0">D3 - C3</f>
        <v>-5.9593105229659074</v>
      </c>
    </row>
    <row r="4" spans="1:5" x14ac:dyDescent="0.25">
      <c r="A4">
        <v>3</v>
      </c>
      <c r="B4">
        <v>654</v>
      </c>
      <c r="C4">
        <f>COMPUTE!L2 * B4 + COMPUTE!M2</f>
        <v>74.468126992553522</v>
      </c>
      <c r="D4">
        <v>79</v>
      </c>
      <c r="E4">
        <f t="shared" si="0"/>
        <v>4.5318730074464781</v>
      </c>
    </row>
    <row r="5" spans="1:5" x14ac:dyDescent="0.25">
      <c r="A5">
        <v>4</v>
      </c>
      <c r="B5">
        <v>704</v>
      </c>
      <c r="C5">
        <f>COMPUTE!L2 * B5 + COMPUTE!M2</f>
        <v>79.330385709841394</v>
      </c>
      <c r="D5">
        <v>80</v>
      </c>
      <c r="E5">
        <f t="shared" si="0"/>
        <v>0.66961429015860574</v>
      </c>
    </row>
    <row r="6" spans="1:5" x14ac:dyDescent="0.25">
      <c r="A6">
        <v>5</v>
      </c>
      <c r="B6">
        <v>787</v>
      </c>
      <c r="C6">
        <f>COMPUTE!L2 * B6 + COMPUTE!M2</f>
        <v>87.401735180539262</v>
      </c>
      <c r="D6">
        <v>95</v>
      </c>
      <c r="E6">
        <f t="shared" si="0"/>
        <v>7.5982648194607378</v>
      </c>
    </row>
    <row r="7" spans="1:5" x14ac:dyDescent="0.25">
      <c r="A7">
        <v>6</v>
      </c>
      <c r="B7">
        <v>730</v>
      </c>
      <c r="C7">
        <f>COMPUTE!L2 * B7 + COMPUTE!M2</f>
        <v>81.858760242831082</v>
      </c>
      <c r="D7">
        <v>71</v>
      </c>
      <c r="E7">
        <f t="shared" si="0"/>
        <v>-10.858760242831082</v>
      </c>
    </row>
    <row r="8" spans="1:5" x14ac:dyDescent="0.25">
      <c r="A8">
        <v>7</v>
      </c>
      <c r="B8">
        <v>667</v>
      </c>
      <c r="C8">
        <f>COMPUTE!L2 * B8 + COMPUTE!M2</f>
        <v>75.732314259048366</v>
      </c>
      <c r="D8">
        <v>73</v>
      </c>
      <c r="E8">
        <f t="shared" si="0"/>
        <v>-2.7323142590483656</v>
      </c>
    </row>
    <row r="9" spans="1:5" x14ac:dyDescent="0.25">
      <c r="A9">
        <v>8</v>
      </c>
      <c r="B9">
        <v>619</v>
      </c>
      <c r="C9">
        <f>COMPUTE!L2 * B9 + COMPUTE!M2</f>
        <v>71.06454589045201</v>
      </c>
      <c r="D9">
        <v>68.5</v>
      </c>
      <c r="E9">
        <f t="shared" si="0"/>
        <v>-2.5645458904520098</v>
      </c>
    </row>
    <row r="10" spans="1:5" x14ac:dyDescent="0.25">
      <c r="A10">
        <v>9</v>
      </c>
      <c r="B10">
        <v>867</v>
      </c>
      <c r="C10">
        <f>COMPUTE!L2 * B10 + COMPUTE!M2</f>
        <v>95.181349128199855</v>
      </c>
      <c r="D10">
        <v>64</v>
      </c>
      <c r="E10">
        <f t="shared" si="0"/>
        <v>-31.181349128199855</v>
      </c>
    </row>
    <row r="11" spans="1:5" x14ac:dyDescent="0.25">
      <c r="A11">
        <v>10</v>
      </c>
      <c r="B11">
        <v>645</v>
      </c>
      <c r="C11">
        <f>COMPUTE!L2 * B11 + COMPUTE!M2</f>
        <v>73.592920423441711</v>
      </c>
      <c r="D11">
        <v>59.5</v>
      </c>
      <c r="E11">
        <f t="shared" si="0"/>
        <v>-14.092920423441711</v>
      </c>
    </row>
    <row r="12" spans="1:5" x14ac:dyDescent="0.25">
      <c r="A12">
        <v>11</v>
      </c>
      <c r="B12">
        <v>556</v>
      </c>
      <c r="C12">
        <f>COMPUTE!L2* B12 + COMPUTE!M2</f>
        <v>64.938099906669294</v>
      </c>
      <c r="D12">
        <v>55</v>
      </c>
      <c r="E12">
        <f t="shared" si="0"/>
        <v>-9.9380999066692937</v>
      </c>
    </row>
    <row r="13" spans="1:5" x14ac:dyDescent="0.25">
      <c r="A13">
        <v>12</v>
      </c>
      <c r="B13">
        <v>707</v>
      </c>
      <c r="C13">
        <f>COMPUTE!L2 * B13 + COMPUTE!M2</f>
        <v>79.622121232878669</v>
      </c>
      <c r="D13">
        <v>50.5</v>
      </c>
      <c r="E13">
        <f t="shared" si="0"/>
        <v>-29.122121232878669</v>
      </c>
    </row>
    <row r="14" spans="1:5" x14ac:dyDescent="0.25">
      <c r="A14">
        <v>13</v>
      </c>
      <c r="B14">
        <v>855</v>
      </c>
      <c r="C14">
        <f>COMPUTE!L2 * B14 + COMPUTE!M2</f>
        <v>94.014407036050756</v>
      </c>
      <c r="D14">
        <v>46</v>
      </c>
      <c r="E14">
        <f t="shared" si="0"/>
        <v>-48.014407036050756</v>
      </c>
    </row>
    <row r="15" spans="1:5" x14ac:dyDescent="0.25">
      <c r="A15">
        <v>14</v>
      </c>
      <c r="B15">
        <v>743</v>
      </c>
      <c r="C15">
        <f>COMPUTE!L2 * B15 + COMPUTE!M2</f>
        <v>83.122947509325925</v>
      </c>
      <c r="D15">
        <v>41.5</v>
      </c>
      <c r="E15">
        <f t="shared" si="0"/>
        <v>-41.622947509325925</v>
      </c>
    </row>
    <row r="16" spans="1:5" x14ac:dyDescent="0.25">
      <c r="A16">
        <v>15</v>
      </c>
      <c r="B16">
        <v>731</v>
      </c>
      <c r="C16">
        <f>COMPUTE!L2 * B16 + COMPUTE!M2</f>
        <v>81.95600541717684</v>
      </c>
      <c r="D16">
        <v>37</v>
      </c>
      <c r="E16">
        <f t="shared" si="0"/>
        <v>-44.95600541717684</v>
      </c>
    </row>
    <row r="17" spans="1:5" x14ac:dyDescent="0.25">
      <c r="A17">
        <v>16</v>
      </c>
      <c r="B17">
        <v>641</v>
      </c>
      <c r="C17">
        <f>COMPUTE!L2 * B17 + COMPUTE!M2</f>
        <v>73.203939726058678</v>
      </c>
      <c r="D17">
        <v>32.5</v>
      </c>
      <c r="E17">
        <f t="shared" si="0"/>
        <v>-40.703939726058678</v>
      </c>
    </row>
    <row r="18" spans="1:5" x14ac:dyDescent="0.25">
      <c r="A18">
        <v>17</v>
      </c>
      <c r="B18">
        <v>654</v>
      </c>
      <c r="C18">
        <f>COMPUTE!L2 * B18 + COMPUTE!M2</f>
        <v>74.468126992553522</v>
      </c>
      <c r="D18">
        <v>28</v>
      </c>
      <c r="E18">
        <f t="shared" si="0"/>
        <v>-46.468126992553522</v>
      </c>
    </row>
    <row r="19" spans="1:5" x14ac:dyDescent="0.25">
      <c r="A19">
        <v>18</v>
      </c>
      <c r="B19">
        <v>735</v>
      </c>
      <c r="C19">
        <f>COMPUTE!L2 * B19 + COMPUTE!M2</f>
        <v>82.344986114559873</v>
      </c>
      <c r="D19">
        <v>23.5</v>
      </c>
      <c r="E19">
        <f t="shared" si="0"/>
        <v>-58.844986114559873</v>
      </c>
    </row>
    <row r="20" spans="1:5" x14ac:dyDescent="0.25">
      <c r="A20">
        <v>19</v>
      </c>
      <c r="B20">
        <v>735</v>
      </c>
      <c r="C20">
        <f>COMPUTE!L2 * B20 + COMPUTE!M2</f>
        <v>82.344986114559873</v>
      </c>
      <c r="D20">
        <v>19</v>
      </c>
      <c r="E20">
        <f t="shared" si="0"/>
        <v>-63.344986114559873</v>
      </c>
    </row>
    <row r="21" spans="1:5" x14ac:dyDescent="0.25">
      <c r="A21">
        <v>20</v>
      </c>
      <c r="B21">
        <v>615</v>
      </c>
      <c r="C21">
        <f>COMPUTE!L2 * B21 + COMPUTE!M2</f>
        <v>70.675565193068977</v>
      </c>
      <c r="D21">
        <v>14.5</v>
      </c>
      <c r="E21">
        <f t="shared" si="0"/>
        <v>-56.175565193068977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708</v>
      </c>
      <c r="B2">
        <v>69</v>
      </c>
    </row>
    <row r="3" spans="1:2" x14ac:dyDescent="0.25">
      <c r="A3">
        <v>875</v>
      </c>
      <c r="B3">
        <v>90</v>
      </c>
    </row>
    <row r="4" spans="1:2" x14ac:dyDescent="0.25">
      <c r="A4">
        <v>654</v>
      </c>
      <c r="B4">
        <v>79</v>
      </c>
    </row>
    <row r="5" spans="1:2" x14ac:dyDescent="0.25">
      <c r="A5">
        <v>704</v>
      </c>
      <c r="B5">
        <v>80</v>
      </c>
    </row>
    <row r="6" spans="1:2" x14ac:dyDescent="0.25">
      <c r="A6">
        <v>787</v>
      </c>
      <c r="B6">
        <v>95</v>
      </c>
    </row>
    <row r="7" spans="1:2" x14ac:dyDescent="0.25">
      <c r="A7">
        <v>730</v>
      </c>
      <c r="B7">
        <v>71</v>
      </c>
    </row>
    <row r="8" spans="1:2" x14ac:dyDescent="0.25">
      <c r="A8">
        <v>667</v>
      </c>
      <c r="B8">
        <v>86</v>
      </c>
    </row>
    <row r="9" spans="1:2" x14ac:dyDescent="0.25">
      <c r="A9">
        <v>619</v>
      </c>
      <c r="B9">
        <v>63</v>
      </c>
    </row>
    <row r="10" spans="1:2" x14ac:dyDescent="0.25">
      <c r="A10">
        <v>867</v>
      </c>
      <c r="B10">
        <v>97</v>
      </c>
    </row>
    <row r="11" spans="1:2" x14ac:dyDescent="0.25">
      <c r="A11">
        <v>645</v>
      </c>
      <c r="B11">
        <v>74</v>
      </c>
    </row>
    <row r="12" spans="1:2" x14ac:dyDescent="0.25">
      <c r="A12">
        <v>556</v>
      </c>
      <c r="B12">
        <v>67</v>
      </c>
    </row>
    <row r="13" spans="1:2" x14ac:dyDescent="0.25">
      <c r="A13">
        <v>707</v>
      </c>
      <c r="B13">
        <v>91</v>
      </c>
    </row>
    <row r="14" spans="1:2" x14ac:dyDescent="0.25">
      <c r="A14">
        <v>855</v>
      </c>
      <c r="B14">
        <v>96</v>
      </c>
    </row>
    <row r="15" spans="1:2" x14ac:dyDescent="0.25">
      <c r="A15">
        <v>743</v>
      </c>
      <c r="B15">
        <v>81</v>
      </c>
    </row>
    <row r="16" spans="1:2" x14ac:dyDescent="0.25">
      <c r="A16">
        <v>731</v>
      </c>
      <c r="B16">
        <v>94</v>
      </c>
    </row>
    <row r="17" spans="1:2" x14ac:dyDescent="0.25">
      <c r="A17">
        <v>641</v>
      </c>
      <c r="B17">
        <v>89</v>
      </c>
    </row>
    <row r="18" spans="1:2" x14ac:dyDescent="0.25">
      <c r="A18">
        <v>654</v>
      </c>
      <c r="B18">
        <v>71</v>
      </c>
    </row>
    <row r="19" spans="1:2" x14ac:dyDescent="0.25">
      <c r="A19">
        <v>735</v>
      </c>
      <c r="B19">
        <v>79</v>
      </c>
    </row>
    <row r="20" spans="1:2" x14ac:dyDescent="0.25">
      <c r="A20">
        <v>735</v>
      </c>
      <c r="B20">
        <v>73</v>
      </c>
    </row>
    <row r="21" spans="1:2" x14ac:dyDescent="0.25">
      <c r="A21">
        <v>615</v>
      </c>
      <c r="B21">
        <v>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P38"/>
  <sheetViews>
    <sheetView workbookViewId="0">
      <selection activeCell="I19" sqref="I19"/>
    </sheetView>
  </sheetViews>
  <sheetFormatPr defaultRowHeight="15" x14ac:dyDescent="0.25"/>
  <cols>
    <col min="1" max="1" width="17.42578125" style="75" customWidth="1"/>
    <col min="2" max="2" width="6.5703125" style="75" bestFit="1" customWidth="1"/>
    <col min="3" max="3" width="14.85546875" style="75" bestFit="1" customWidth="1"/>
    <col min="4" max="4" width="9.5703125" style="75" customWidth="1"/>
    <col min="5" max="5" width="8.5703125" style="75" customWidth="1"/>
    <col min="6" max="6" width="14.42578125" style="75" bestFit="1" customWidth="1"/>
    <col min="7" max="7" width="11" style="75" customWidth="1"/>
    <col min="8" max="8" width="12.7109375" style="75" bestFit="1" customWidth="1"/>
    <col min="9" max="9" width="12.5703125" style="75" bestFit="1" customWidth="1"/>
    <col min="10" max="10" width="2.85546875" style="75" customWidth="1"/>
    <col min="11" max="11" width="25.42578125" style="75" customWidth="1"/>
    <col min="12" max="12" width="12.5703125" style="75" customWidth="1"/>
    <col min="13" max="13" width="9.140625" style="75" customWidth="1"/>
    <col min="14" max="14" width="9.140625" style="75"/>
    <col min="15" max="15" width="22.7109375" style="75" customWidth="1"/>
    <col min="16" max="16384" width="9.140625" style="75"/>
  </cols>
  <sheetData>
    <row r="1" spans="1:16" ht="15" customHeight="1" thickBot="1" x14ac:dyDescent="0.3">
      <c r="A1" s="70" t="s">
        <v>63</v>
      </c>
      <c r="B1" s="70"/>
      <c r="C1" s="70"/>
      <c r="D1" s="70"/>
      <c r="E1" s="70"/>
      <c r="F1" s="70"/>
      <c r="G1" s="70"/>
      <c r="H1" s="70"/>
      <c r="I1" s="70"/>
      <c r="J1" s="70"/>
      <c r="K1" s="71" t="s">
        <v>47</v>
      </c>
      <c r="L1" s="72"/>
      <c r="M1" s="72"/>
      <c r="N1" s="73"/>
      <c r="O1" s="74"/>
    </row>
    <row r="2" spans="1:16" ht="15" customHeight="1" thickBot="1" x14ac:dyDescent="0.3">
      <c r="A2" s="70"/>
      <c r="B2" s="70"/>
      <c r="C2" s="70"/>
      <c r="D2" s="70"/>
      <c r="E2" s="70"/>
      <c r="F2" s="70"/>
      <c r="G2" s="70"/>
      <c r="H2" s="70"/>
      <c r="I2" s="70"/>
      <c r="J2" s="70"/>
      <c r="K2" s="76" t="s">
        <v>48</v>
      </c>
      <c r="L2" s="77">
        <f t="array" ref="L2:M6">LINEST(SLRData!$B$2:$B$21, SLRData!$A$2:$A$21,TRUE,TRUE)</f>
        <v>9.7245174345757426E-2</v>
      </c>
      <c r="M2" s="78">
        <v>10.869782970428162</v>
      </c>
      <c r="N2" s="79"/>
      <c r="O2" s="74"/>
      <c r="P2" s="74"/>
    </row>
    <row r="3" spans="1:16" ht="15" customHeight="1" x14ac:dyDescent="0.25">
      <c r="A3" s="80" t="s">
        <v>49</v>
      </c>
      <c r="B3" s="80"/>
      <c r="C3" s="70"/>
      <c r="D3" s="70"/>
      <c r="E3" s="70"/>
      <c r="F3" s="70"/>
      <c r="G3" s="70"/>
      <c r="H3" s="70"/>
      <c r="I3" s="70"/>
      <c r="J3" s="70"/>
      <c r="K3" s="76" t="s">
        <v>50</v>
      </c>
      <c r="L3" s="81">
        <v>2.3419781161374244E-2</v>
      </c>
      <c r="M3" s="82">
        <v>16.775779042151726</v>
      </c>
      <c r="N3" s="79"/>
      <c r="O3" s="74"/>
      <c r="P3" s="74"/>
    </row>
    <row r="4" spans="1:16" ht="15" customHeight="1" x14ac:dyDescent="0.25">
      <c r="A4" s="83" t="s">
        <v>51</v>
      </c>
      <c r="B4" s="84">
        <v>0.69945399917860163</v>
      </c>
      <c r="C4" s="70"/>
      <c r="D4" s="70"/>
      <c r="E4" s="70"/>
      <c r="F4" s="85"/>
      <c r="G4" s="70"/>
      <c r="H4" s="70"/>
      <c r="I4" s="70"/>
      <c r="J4" s="70"/>
      <c r="K4" s="32" t="s">
        <v>52</v>
      </c>
      <c r="L4" s="81">
        <v>0.4892358969669392</v>
      </c>
      <c r="M4" s="82">
        <v>8.767472766841113</v>
      </c>
      <c r="N4" s="79"/>
      <c r="O4" s="73"/>
      <c r="P4" s="74"/>
    </row>
    <row r="5" spans="1:16" ht="15" customHeight="1" x14ac:dyDescent="0.25">
      <c r="A5" s="83" t="s">
        <v>53</v>
      </c>
      <c r="B5" s="84">
        <v>0.4892358969669392</v>
      </c>
      <c r="C5" s="70"/>
      <c r="D5" s="70"/>
      <c r="E5" s="70"/>
      <c r="F5" s="85"/>
      <c r="G5" s="70"/>
      <c r="H5" s="70"/>
      <c r="I5" s="70"/>
      <c r="J5" s="70"/>
      <c r="K5" s="76" t="s">
        <v>54</v>
      </c>
      <c r="L5" s="81">
        <v>17.241317651555661</v>
      </c>
      <c r="M5" s="82">
        <v>18</v>
      </c>
      <c r="N5" s="79"/>
      <c r="O5" s="74"/>
      <c r="P5" s="74"/>
    </row>
    <row r="6" spans="1:16" ht="15" customHeight="1" thickBot="1" x14ac:dyDescent="0.3">
      <c r="A6" s="83" t="s">
        <v>55</v>
      </c>
      <c r="B6" s="84">
        <v>0.46086011346510236</v>
      </c>
      <c r="C6" s="70"/>
      <c r="D6" s="70"/>
      <c r="E6" s="70"/>
      <c r="F6" s="70"/>
      <c r="G6" s="70"/>
      <c r="H6" s="70"/>
      <c r="I6" s="70"/>
      <c r="J6" s="70"/>
      <c r="K6" s="32" t="s">
        <v>56</v>
      </c>
      <c r="L6" s="86">
        <v>1325.3155830885898</v>
      </c>
      <c r="M6" s="87">
        <v>1383.63441691141</v>
      </c>
      <c r="N6" s="79"/>
      <c r="O6" s="74"/>
      <c r="P6" s="74"/>
    </row>
    <row r="7" spans="1:16" ht="15" customHeight="1" x14ac:dyDescent="0.25">
      <c r="A7" s="83" t="s">
        <v>57</v>
      </c>
      <c r="B7" s="84">
        <f>M4</f>
        <v>8.767472766841113</v>
      </c>
      <c r="C7" s="70"/>
      <c r="D7" s="70"/>
      <c r="E7" s="70"/>
      <c r="F7" s="70"/>
      <c r="G7" s="70"/>
      <c r="H7" s="70"/>
      <c r="I7" s="70"/>
      <c r="J7" s="70"/>
      <c r="K7" s="74"/>
      <c r="L7" s="74"/>
      <c r="M7" s="74"/>
      <c r="N7" s="74"/>
      <c r="O7" s="74"/>
    </row>
    <row r="8" spans="1:16" ht="15" customHeight="1" thickBot="1" x14ac:dyDescent="0.3">
      <c r="A8" s="88" t="s">
        <v>58</v>
      </c>
      <c r="B8" s="88">
        <f>COUNT(SLRData!$A:$A)</f>
        <v>20</v>
      </c>
      <c r="C8" s="70"/>
      <c r="D8" s="70"/>
      <c r="E8" s="70"/>
      <c r="F8" s="70"/>
      <c r="G8" s="70"/>
      <c r="H8" s="70"/>
      <c r="I8" s="70"/>
      <c r="J8" s="70"/>
      <c r="K8" s="89" t="s">
        <v>59</v>
      </c>
      <c r="L8" s="90">
        <v>0.95</v>
      </c>
      <c r="M8" s="74"/>
      <c r="N8" s="74"/>
      <c r="O8" s="74"/>
    </row>
    <row r="9" spans="1:16" ht="15" customHeight="1" x14ac:dyDescent="0.25">
      <c r="A9" s="70"/>
      <c r="B9" s="70"/>
      <c r="C9" s="70"/>
      <c r="D9" s="70"/>
      <c r="E9" s="70"/>
      <c r="F9" s="70"/>
      <c r="G9" s="70"/>
      <c r="H9" s="70"/>
      <c r="I9" s="70"/>
      <c r="J9" s="70"/>
      <c r="K9" s="91" t="s">
        <v>60</v>
      </c>
      <c r="L9" s="92">
        <v>2.1009220402410378</v>
      </c>
      <c r="M9" s="74"/>
      <c r="N9" s="74"/>
      <c r="O9" s="74"/>
    </row>
    <row r="10" spans="1:16" ht="15" customHeight="1" x14ac:dyDescent="0.25">
      <c r="J10" s="70"/>
      <c r="K10" s="89" t="s">
        <v>61</v>
      </c>
      <c r="L10" s="92">
        <v>35.244603931870245</v>
      </c>
      <c r="M10" s="74"/>
      <c r="N10" s="74"/>
      <c r="O10" s="74"/>
    </row>
    <row r="11" spans="1:16" ht="15" customHeight="1" x14ac:dyDescent="0.25">
      <c r="K11" s="89" t="s">
        <v>62</v>
      </c>
      <c r="L11" s="92">
        <v>4.9203134419552999E-2</v>
      </c>
    </row>
    <row r="12" spans="1:16" ht="15" customHeight="1" x14ac:dyDescent="0.25"/>
    <row r="13" spans="1:16" ht="15" customHeight="1" x14ac:dyDescent="0.25"/>
    <row r="14" spans="1:16" ht="15" customHeight="1" x14ac:dyDescent="0.25">
      <c r="F14" s="95"/>
      <c r="G14" s="95"/>
    </row>
    <row r="15" spans="1:16" ht="15" customHeight="1" x14ac:dyDescent="0.25">
      <c r="J15" s="70"/>
    </row>
    <row r="16" spans="1:16" ht="15" customHeight="1" x14ac:dyDescent="0.25">
      <c r="J16" s="93"/>
    </row>
    <row r="17" spans="10:10" ht="15" customHeight="1" x14ac:dyDescent="0.25">
      <c r="J17" s="94"/>
    </row>
    <row r="18" spans="10:10" ht="15" customHeight="1" x14ac:dyDescent="0.25">
      <c r="J18" s="94"/>
    </row>
    <row r="19" spans="10:10" x14ac:dyDescent="0.25">
      <c r="J19" s="70"/>
    </row>
    <row r="20" spans="10:10" x14ac:dyDescent="0.25">
      <c r="J20" s="70"/>
    </row>
    <row r="21" spans="10:10" x14ac:dyDescent="0.25">
      <c r="J21" s="70"/>
    </row>
    <row r="22" spans="10:10" x14ac:dyDescent="0.25">
      <c r="J22" s="70"/>
    </row>
    <row r="23" spans="10:10" x14ac:dyDescent="0.25">
      <c r="J23" s="70"/>
    </row>
    <row r="24" spans="10:10" x14ac:dyDescent="0.25">
      <c r="J24" s="70"/>
    </row>
    <row r="25" spans="10:10" x14ac:dyDescent="0.25">
      <c r="J25" s="70"/>
    </row>
    <row r="26" spans="10:10" x14ac:dyDescent="0.25">
      <c r="J26" s="70"/>
    </row>
    <row r="27" spans="10:10" x14ac:dyDescent="0.25">
      <c r="J27" s="70"/>
    </row>
    <row r="28" spans="10:10" x14ac:dyDescent="0.25">
      <c r="J28" s="70"/>
    </row>
    <row r="29" spans="10:10" x14ac:dyDescent="0.25">
      <c r="J29" s="70"/>
    </row>
    <row r="30" spans="10:10" x14ac:dyDescent="0.25">
      <c r="J30" s="70"/>
    </row>
    <row r="31" spans="10:10" x14ac:dyDescent="0.25">
      <c r="J31" s="70"/>
    </row>
    <row r="32" spans="10:10" x14ac:dyDescent="0.25">
      <c r="J32" s="70"/>
    </row>
    <row r="33" spans="10:10" x14ac:dyDescent="0.25">
      <c r="J33" s="70"/>
    </row>
    <row r="34" spans="10:10" x14ac:dyDescent="0.25">
      <c r="J34" s="70"/>
    </row>
    <row r="35" spans="10:10" x14ac:dyDescent="0.25">
      <c r="J35" s="70"/>
    </row>
    <row r="36" spans="10:10" x14ac:dyDescent="0.25">
      <c r="J36" s="93"/>
    </row>
    <row r="37" spans="10:10" x14ac:dyDescent="0.25">
      <c r="J37" s="94"/>
    </row>
    <row r="38" spans="10:10" x14ac:dyDescent="0.25">
      <c r="J38" s="94"/>
    </row>
  </sheetData>
  <mergeCells count="1">
    <mergeCell ref="K1:M1"/>
  </mergeCells>
  <pageMargins left="0.7" right="0.7" top="0.75" bottom="0.75" header="0.3" footer="0.3"/>
  <pageSetup orientation="portrait" horizontalDpi="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17"/>
  <sheetViews>
    <sheetView workbookViewId="0">
      <selection activeCell="B21" sqref="B21"/>
    </sheetView>
  </sheetViews>
  <sheetFormatPr defaultRowHeight="15" customHeight="1" x14ac:dyDescent="0.25"/>
  <cols>
    <col min="1" max="1" width="25.85546875" style="32" customWidth="1"/>
    <col min="2" max="2" width="12" style="32" customWidth="1"/>
    <col min="3" max="16384" width="9.140625" style="32"/>
  </cols>
  <sheetData>
    <row r="1" spans="1:4" ht="15" customHeight="1" x14ac:dyDescent="0.25">
      <c r="A1" s="30" t="s">
        <v>46</v>
      </c>
      <c r="B1" s="34"/>
    </row>
    <row r="2" spans="1:4" ht="15" customHeight="1" x14ac:dyDescent="0.25">
      <c r="A2" s="35" t="s">
        <v>8</v>
      </c>
      <c r="B2" s="36"/>
      <c r="C2" s="44"/>
    </row>
    <row r="3" spans="1:4" ht="15" customHeight="1" x14ac:dyDescent="0.25">
      <c r="A3" s="37" t="s">
        <v>45</v>
      </c>
      <c r="B3" s="50">
        <v>0.45</v>
      </c>
      <c r="C3" s="44"/>
    </row>
    <row r="4" spans="1:4" ht="15" customHeight="1" x14ac:dyDescent="0.25">
      <c r="A4" s="37" t="s">
        <v>24</v>
      </c>
      <c r="B4" s="50">
        <v>0.1</v>
      </c>
      <c r="C4" s="44"/>
    </row>
    <row r="5" spans="1:4" ht="15" customHeight="1" x14ac:dyDescent="0.25">
      <c r="A5" s="37" t="s">
        <v>12</v>
      </c>
      <c r="B5" s="51">
        <v>0.95</v>
      </c>
      <c r="C5" s="44"/>
    </row>
    <row r="6" spans="1:4" ht="15" customHeight="1" x14ac:dyDescent="0.25">
      <c r="A6" s="68" t="s">
        <v>13</v>
      </c>
      <c r="B6" s="69"/>
      <c r="C6" s="44"/>
    </row>
    <row r="7" spans="1:4" ht="15" customHeight="1" x14ac:dyDescent="0.25">
      <c r="A7" s="41" t="s">
        <v>26</v>
      </c>
      <c r="B7" s="42">
        <f>_xlfn.NORM.S.INV((1-B5)/2)</f>
        <v>-1.9599639845400536</v>
      </c>
      <c r="C7" s="44"/>
      <c r="D7" s="43"/>
    </row>
    <row r="8" spans="1:4" ht="15" customHeight="1" x14ac:dyDescent="0.25">
      <c r="A8" s="41" t="s">
        <v>27</v>
      </c>
      <c r="B8" s="42">
        <f>(B7^2*B3*(1-B3))/B4^2</f>
        <v>95.076105812179549</v>
      </c>
      <c r="C8" s="44"/>
    </row>
    <row r="9" spans="1:4" ht="15" customHeight="1" x14ac:dyDescent="0.25">
      <c r="A9" s="66" t="s">
        <v>28</v>
      </c>
      <c r="B9" s="66"/>
      <c r="C9" s="44"/>
    </row>
    <row r="10" spans="1:4" ht="15" customHeight="1" x14ac:dyDescent="0.25">
      <c r="A10" s="46" t="s">
        <v>29</v>
      </c>
      <c r="B10" s="47">
        <f>ROUNDUP(B8, 0)</f>
        <v>96</v>
      </c>
      <c r="C10" s="44"/>
    </row>
    <row r="11" spans="1:4" ht="15" customHeight="1" x14ac:dyDescent="0.25">
      <c r="A11" s="38"/>
      <c r="B11" s="48"/>
      <c r="C11" s="44"/>
    </row>
    <row r="12" spans="1:4" ht="15" customHeight="1" x14ac:dyDescent="0.25">
      <c r="A12" s="38"/>
      <c r="B12" s="48"/>
      <c r="C12" s="44"/>
    </row>
    <row r="13" spans="1:4" ht="15" customHeight="1" x14ac:dyDescent="0.25">
      <c r="A13" s="44"/>
    </row>
    <row r="14" spans="1:4" ht="15" customHeight="1" x14ac:dyDescent="0.25">
      <c r="A14" s="44"/>
    </row>
    <row r="15" spans="1:4" ht="15" customHeight="1" x14ac:dyDescent="0.25">
      <c r="A15" s="44"/>
    </row>
    <row r="16" spans="1:4" ht="15" customHeight="1" x14ac:dyDescent="0.25">
      <c r="A16" s="44"/>
    </row>
    <row r="17" spans="2:3" ht="15" customHeight="1" x14ac:dyDescent="0.25">
      <c r="B17" s="44"/>
      <c r="C17" s="44"/>
    </row>
  </sheetData>
  <mergeCells count="2">
    <mergeCell ref="A6:B6"/>
    <mergeCell ref="A9:B9"/>
  </mergeCells>
  <pageMargins left="0.75" right="0.75" top="1" bottom="1" header="0.5" footer="0.5"/>
  <pageSetup orientation="portrait" horizontalDpi="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C26"/>
  <sheetViews>
    <sheetView workbookViewId="0">
      <selection activeCell="B13" sqref="A1:B13"/>
    </sheetView>
  </sheetViews>
  <sheetFormatPr defaultRowHeight="15" x14ac:dyDescent="0.25"/>
  <cols>
    <col min="1" max="1" width="29.42578125" style="32" customWidth="1"/>
    <col min="2" max="2" width="12" style="32" customWidth="1"/>
    <col min="3" max="16384" width="9.140625" style="32"/>
  </cols>
  <sheetData>
    <row r="1" spans="1:3" x14ac:dyDescent="0.25">
      <c r="A1" s="30" t="s">
        <v>44</v>
      </c>
      <c r="B1" s="34"/>
    </row>
    <row r="2" spans="1:3" x14ac:dyDescent="0.25">
      <c r="A2" s="49" t="s">
        <v>8</v>
      </c>
      <c r="B2" s="63"/>
    </row>
    <row r="3" spans="1:3" x14ac:dyDescent="0.25">
      <c r="A3" s="37" t="s">
        <v>11</v>
      </c>
      <c r="B3" s="50">
        <v>20</v>
      </c>
      <c r="C3" s="43"/>
    </row>
    <row r="4" spans="1:3" x14ac:dyDescent="0.25">
      <c r="A4" s="37" t="s">
        <v>41</v>
      </c>
      <c r="B4" s="50">
        <v>8</v>
      </c>
      <c r="C4" s="43"/>
    </row>
    <row r="5" spans="1:3" x14ac:dyDescent="0.25">
      <c r="A5" s="37" t="s">
        <v>12</v>
      </c>
      <c r="B5" s="67">
        <v>0.95</v>
      </c>
      <c r="C5" s="43"/>
    </row>
    <row r="6" spans="1:3" x14ac:dyDescent="0.25">
      <c r="A6" s="64" t="s">
        <v>13</v>
      </c>
      <c r="B6" s="64"/>
      <c r="C6" s="43"/>
    </row>
    <row r="7" spans="1:3" x14ac:dyDescent="0.25">
      <c r="A7" s="65" t="s">
        <v>42</v>
      </c>
      <c r="B7" s="42">
        <f>B4/B3</f>
        <v>0.4</v>
      </c>
      <c r="C7" s="43"/>
    </row>
    <row r="8" spans="1:3" x14ac:dyDescent="0.25">
      <c r="A8" s="41" t="s">
        <v>26</v>
      </c>
      <c r="B8" s="42">
        <f>_xlfn.NORM.S.INV((1-B5)/2)</f>
        <v>-1.9599639845400536</v>
      </c>
      <c r="C8" s="43"/>
    </row>
    <row r="9" spans="1:3" x14ac:dyDescent="0.25">
      <c r="A9" s="65" t="s">
        <v>43</v>
      </c>
      <c r="B9" s="42">
        <f>SQRT(B7*(1-B7)/B3)</f>
        <v>0.10954451150103323</v>
      </c>
      <c r="C9" s="43"/>
    </row>
    <row r="10" spans="1:3" x14ac:dyDescent="0.25">
      <c r="A10" s="41" t="s">
        <v>17</v>
      </c>
      <c r="B10" s="42">
        <f>ABS(B8*B9)</f>
        <v>0.2147032972460588</v>
      </c>
      <c r="C10" s="43"/>
    </row>
    <row r="11" spans="1:3" x14ac:dyDescent="0.25">
      <c r="A11" s="66" t="s">
        <v>18</v>
      </c>
      <c r="B11" s="66"/>
      <c r="C11" s="43"/>
    </row>
    <row r="12" spans="1:3" x14ac:dyDescent="0.25">
      <c r="A12" s="46" t="s">
        <v>19</v>
      </c>
      <c r="B12" s="47">
        <f>B7-B10</f>
        <v>0.18529670275394122</v>
      </c>
      <c r="C12" s="43"/>
    </row>
    <row r="13" spans="1:3" x14ac:dyDescent="0.25">
      <c r="A13" s="46" t="s">
        <v>20</v>
      </c>
      <c r="B13" s="47">
        <f>B7+B10</f>
        <v>0.61470329724605888</v>
      </c>
      <c r="C13" s="43"/>
    </row>
    <row r="14" spans="1:3" x14ac:dyDescent="0.25">
      <c r="A14" s="38"/>
      <c r="B14" s="48"/>
      <c r="C14" s="43"/>
    </row>
    <row r="15" spans="1:3" x14ac:dyDescent="0.25">
      <c r="A15" s="38"/>
      <c r="B15" s="48"/>
      <c r="C15" s="43"/>
    </row>
    <row r="16" spans="1:3" x14ac:dyDescent="0.25">
      <c r="A16" s="43"/>
    </row>
    <row r="17" spans="1:2" x14ac:dyDescent="0.25">
      <c r="A17" s="43"/>
    </row>
    <row r="18" spans="1:2" x14ac:dyDescent="0.25">
      <c r="A18" s="43"/>
    </row>
    <row r="19" spans="1:2" x14ac:dyDescent="0.25">
      <c r="A19" s="43"/>
    </row>
    <row r="20" spans="1:2" x14ac:dyDescent="0.25">
      <c r="A20" s="43"/>
    </row>
    <row r="21" spans="1:2" x14ac:dyDescent="0.25">
      <c r="A21" s="43"/>
    </row>
    <row r="22" spans="1:2" x14ac:dyDescent="0.25">
      <c r="A22" s="43"/>
      <c r="B22" s="38"/>
    </row>
    <row r="23" spans="1:2" x14ac:dyDescent="0.25">
      <c r="A23" s="43"/>
      <c r="B23" s="38"/>
    </row>
    <row r="24" spans="1:2" x14ac:dyDescent="0.25">
      <c r="A24" s="38"/>
      <c r="B24" s="38"/>
    </row>
    <row r="25" spans="1:2" x14ac:dyDescent="0.25">
      <c r="A25" s="38"/>
      <c r="B25" s="38"/>
    </row>
    <row r="26" spans="1:2" x14ac:dyDescent="0.25">
      <c r="B26" s="43"/>
    </row>
  </sheetData>
  <mergeCells count="2">
    <mergeCell ref="A6:B6"/>
    <mergeCell ref="A11:B11"/>
  </mergeCells>
  <pageMargins left="0.75" right="0.75" top="1" bottom="1" header="0.5" footer="0.5"/>
  <pageSetup orientation="portrait" horizontalDpi="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F32"/>
  <sheetViews>
    <sheetView workbookViewId="0">
      <selection activeCell="D4" sqref="D4"/>
    </sheetView>
  </sheetViews>
  <sheetFormatPr defaultRowHeight="15" customHeight="1" x14ac:dyDescent="0.25"/>
  <cols>
    <col min="1" max="1" width="26" style="32" customWidth="1"/>
    <col min="2" max="2" width="12.28515625" style="32" customWidth="1"/>
    <col min="3" max="3" width="7.7109375" style="32" customWidth="1"/>
    <col min="4" max="4" width="16.85546875" style="32" customWidth="1"/>
    <col min="5" max="5" width="12.140625" style="32" bestFit="1" customWidth="1"/>
    <col min="6" max="16384" width="9.140625" style="32"/>
  </cols>
  <sheetData>
    <row r="1" spans="1:5" ht="15" customHeight="1" x14ac:dyDescent="0.25">
      <c r="A1" s="30" t="s">
        <v>40</v>
      </c>
      <c r="B1" s="31"/>
      <c r="C1" s="31"/>
    </row>
    <row r="3" spans="1:5" ht="15" customHeight="1" x14ac:dyDescent="0.25">
      <c r="A3" s="52" t="s">
        <v>8</v>
      </c>
      <c r="B3" s="52"/>
    </row>
    <row r="4" spans="1:5" ht="15" customHeight="1" x14ac:dyDescent="0.25">
      <c r="A4" s="37" t="s">
        <v>30</v>
      </c>
      <c r="B4" s="62">
        <v>75</v>
      </c>
      <c r="C4" s="53"/>
    </row>
    <row r="5" spans="1:5" ht="15" customHeight="1" x14ac:dyDescent="0.25">
      <c r="A5" s="37" t="s">
        <v>31</v>
      </c>
      <c r="B5" s="62">
        <v>0.01</v>
      </c>
      <c r="C5" s="53"/>
    </row>
    <row r="6" spans="1:5" ht="15" customHeight="1" x14ac:dyDescent="0.25">
      <c r="A6" s="37" t="s">
        <v>11</v>
      </c>
      <c r="B6" s="62">
        <v>20</v>
      </c>
      <c r="C6" s="53"/>
    </row>
    <row r="7" spans="1:5" ht="15" customHeight="1" x14ac:dyDescent="0.25">
      <c r="A7" s="37" t="s">
        <v>10</v>
      </c>
      <c r="B7" s="62">
        <v>80.05</v>
      </c>
      <c r="C7" s="38"/>
    </row>
    <row r="8" spans="1:5" ht="15" customHeight="1" x14ac:dyDescent="0.25">
      <c r="A8" s="37" t="s">
        <v>9</v>
      </c>
      <c r="B8" s="62">
        <v>11.9405</v>
      </c>
      <c r="C8" s="38"/>
    </row>
    <row r="9" spans="1:5" ht="15" customHeight="1" x14ac:dyDescent="0.25">
      <c r="A9" s="38"/>
      <c r="B9" s="38"/>
      <c r="C9" s="38"/>
    </row>
    <row r="10" spans="1:5" ht="15" customHeight="1" x14ac:dyDescent="0.25">
      <c r="A10" s="40" t="s">
        <v>13</v>
      </c>
      <c r="B10" s="40"/>
      <c r="C10" s="38"/>
    </row>
    <row r="11" spans="1:5" ht="15" customHeight="1" x14ac:dyDescent="0.25">
      <c r="A11" s="41" t="s">
        <v>14</v>
      </c>
      <c r="B11" s="54">
        <f>B8/SQRT(B6)</f>
        <v>2.6699769685336237</v>
      </c>
    </row>
    <row r="12" spans="1:5" ht="15" customHeight="1" x14ac:dyDescent="0.25">
      <c r="A12" s="41" t="s">
        <v>15</v>
      </c>
      <c r="B12" s="54">
        <f>B6-1</f>
        <v>19</v>
      </c>
      <c r="D12" s="53"/>
      <c r="E12" s="53"/>
    </row>
    <row r="13" spans="1:5" ht="15" customHeight="1" x14ac:dyDescent="0.25">
      <c r="A13" s="55" t="s">
        <v>32</v>
      </c>
      <c r="B13" s="47">
        <f>(B7-B4)/B11</f>
        <v>1.891402083057482</v>
      </c>
      <c r="C13" s="43"/>
    </row>
    <row r="14" spans="1:5" ht="15" customHeight="1" x14ac:dyDescent="0.25">
      <c r="A14" s="43"/>
      <c r="B14" s="43"/>
      <c r="C14" s="43"/>
    </row>
    <row r="15" spans="1:5" ht="15" customHeight="1" x14ac:dyDescent="0.25">
      <c r="A15" s="56" t="s">
        <v>39</v>
      </c>
      <c r="B15" s="56"/>
      <c r="C15" s="57"/>
      <c r="D15" s="58" t="s">
        <v>35</v>
      </c>
      <c r="E15" s="58"/>
    </row>
    <row r="16" spans="1:5" ht="15" customHeight="1" x14ac:dyDescent="0.25">
      <c r="A16" s="46" t="s">
        <v>33</v>
      </c>
      <c r="B16" s="47">
        <f>(_xlfn.T.INV.2T(2*B5, B12))</f>
        <v>2.5394831906239612</v>
      </c>
      <c r="C16" s="53"/>
      <c r="D16" s="59" t="s">
        <v>36</v>
      </c>
      <c r="E16" s="34"/>
    </row>
    <row r="17" spans="1:6" ht="15" customHeight="1" x14ac:dyDescent="0.25">
      <c r="A17" s="55" t="s">
        <v>34</v>
      </c>
      <c r="B17" s="47">
        <f>IF(B13&lt;0, E18, E17)</f>
        <v>3.6957970418344262E-2</v>
      </c>
      <c r="C17" s="53"/>
      <c r="D17" s="59" t="s">
        <v>37</v>
      </c>
      <c r="E17" s="43">
        <f>_xlfn.T.DIST.RT(ABS(B13), B12)</f>
        <v>3.6957970418344262E-2</v>
      </c>
    </row>
    <row r="18" spans="1:6" ht="15" customHeight="1" x14ac:dyDescent="0.25">
      <c r="A18" s="56" t="str">
        <f>IF(B17&lt;$B$5, "Reject the null hypothesis", "Do not reject the null hypothesis")</f>
        <v>Do not reject the null hypothesis</v>
      </c>
      <c r="B18" s="56"/>
      <c r="C18" s="53"/>
      <c r="D18" s="59" t="s">
        <v>38</v>
      </c>
      <c r="E18" s="43">
        <f>1-E17</f>
        <v>0.96304202958165575</v>
      </c>
    </row>
    <row r="19" spans="1:6" ht="15" customHeight="1" x14ac:dyDescent="0.25">
      <c r="C19" s="57"/>
      <c r="D19" s="60"/>
      <c r="E19" s="43"/>
    </row>
    <row r="20" spans="1:6" ht="15" customHeight="1" x14ac:dyDescent="0.25">
      <c r="C20" s="57"/>
    </row>
    <row r="21" spans="1:6" ht="15" customHeight="1" x14ac:dyDescent="0.25">
      <c r="C21" s="57"/>
    </row>
    <row r="22" spans="1:6" ht="15" customHeight="1" x14ac:dyDescent="0.25">
      <c r="C22" s="53"/>
    </row>
    <row r="23" spans="1:6" ht="15" customHeight="1" x14ac:dyDescent="0.25">
      <c r="C23" s="53"/>
    </row>
    <row r="24" spans="1:6" ht="15" customHeight="1" x14ac:dyDescent="0.25">
      <c r="C24" s="57"/>
    </row>
    <row r="25" spans="1:6" ht="15" customHeight="1" x14ac:dyDescent="0.25">
      <c r="C25" s="38"/>
    </row>
    <row r="26" spans="1:6" ht="15" customHeight="1" x14ac:dyDescent="0.25">
      <c r="C26" s="57"/>
    </row>
    <row r="27" spans="1:6" ht="15" customHeight="1" x14ac:dyDescent="0.25">
      <c r="C27" s="53"/>
    </row>
    <row r="28" spans="1:6" ht="15" customHeight="1" x14ac:dyDescent="0.25">
      <c r="C28" s="53"/>
    </row>
    <row r="29" spans="1:6" ht="15" customHeight="1" x14ac:dyDescent="0.25">
      <c r="C29" s="57"/>
    </row>
    <row r="32" spans="1:6" ht="15" customHeight="1" x14ac:dyDescent="0.25">
      <c r="F32" s="61"/>
    </row>
  </sheetData>
  <mergeCells count="2">
    <mergeCell ref="A3:B3"/>
    <mergeCell ref="A10:B10"/>
  </mergeCells>
  <printOptions gridLines="1" gridLinesSet="0"/>
  <pageMargins left="0.75" right="0.75" top="1" bottom="1" header="0.5" footer="0.5"/>
  <pageSetup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F32"/>
  <sheetViews>
    <sheetView workbookViewId="0">
      <selection activeCell="D8" sqref="D8"/>
    </sheetView>
  </sheetViews>
  <sheetFormatPr defaultRowHeight="15" customHeight="1" x14ac:dyDescent="0.25"/>
  <cols>
    <col min="1" max="1" width="26" style="32" customWidth="1"/>
    <col min="2" max="2" width="12.28515625" style="32" customWidth="1"/>
    <col min="3" max="3" width="7.7109375" style="32" customWidth="1"/>
    <col min="4" max="4" width="16.85546875" style="32" customWidth="1"/>
    <col min="5" max="5" width="12.140625" style="32" bestFit="1" customWidth="1"/>
    <col min="6" max="16384" width="9.140625" style="32"/>
  </cols>
  <sheetData>
    <row r="1" spans="1:5" ht="15" customHeight="1" x14ac:dyDescent="0.25">
      <c r="A1" s="30" t="s">
        <v>40</v>
      </c>
      <c r="B1" s="31"/>
      <c r="C1" s="31"/>
    </row>
    <row r="3" spans="1:5" ht="15" customHeight="1" x14ac:dyDescent="0.25">
      <c r="A3" s="52" t="s">
        <v>8</v>
      </c>
      <c r="B3" s="52"/>
    </row>
    <row r="4" spans="1:5" ht="15" customHeight="1" x14ac:dyDescent="0.25">
      <c r="A4" s="37" t="s">
        <v>30</v>
      </c>
      <c r="B4" s="62">
        <v>75</v>
      </c>
      <c r="C4" s="53"/>
    </row>
    <row r="5" spans="1:5" ht="15" customHeight="1" x14ac:dyDescent="0.25">
      <c r="A5" s="37" t="s">
        <v>31</v>
      </c>
      <c r="B5" s="62">
        <v>0.05</v>
      </c>
      <c r="C5" s="53"/>
    </row>
    <row r="6" spans="1:5" ht="15" customHeight="1" x14ac:dyDescent="0.25">
      <c r="A6" s="37" t="s">
        <v>11</v>
      </c>
      <c r="B6" s="62">
        <v>20</v>
      </c>
      <c r="C6" s="53"/>
    </row>
    <row r="7" spans="1:5" ht="15" customHeight="1" x14ac:dyDescent="0.25">
      <c r="A7" s="37" t="s">
        <v>10</v>
      </c>
      <c r="B7" s="62">
        <v>80.05</v>
      </c>
      <c r="C7" s="38"/>
    </row>
    <row r="8" spans="1:5" ht="15" customHeight="1" x14ac:dyDescent="0.25">
      <c r="A8" s="37" t="s">
        <v>9</v>
      </c>
      <c r="B8" s="62">
        <v>11.9405</v>
      </c>
      <c r="C8" s="38"/>
    </row>
    <row r="9" spans="1:5" ht="15" customHeight="1" x14ac:dyDescent="0.25">
      <c r="A9" s="38"/>
      <c r="B9" s="38"/>
      <c r="C9" s="38"/>
    </row>
    <row r="10" spans="1:5" ht="15" customHeight="1" x14ac:dyDescent="0.25">
      <c r="A10" s="40" t="s">
        <v>13</v>
      </c>
      <c r="B10" s="40"/>
      <c r="C10" s="38"/>
    </row>
    <row r="11" spans="1:5" ht="15" customHeight="1" x14ac:dyDescent="0.25">
      <c r="A11" s="41" t="s">
        <v>14</v>
      </c>
      <c r="B11" s="54">
        <f>B8/SQRT(B6)</f>
        <v>2.6699769685336237</v>
      </c>
    </row>
    <row r="12" spans="1:5" ht="15" customHeight="1" x14ac:dyDescent="0.25">
      <c r="A12" s="41" t="s">
        <v>15</v>
      </c>
      <c r="B12" s="54">
        <f>B6-1</f>
        <v>19</v>
      </c>
      <c r="D12" s="53"/>
      <c r="E12" s="53"/>
    </row>
    <row r="13" spans="1:5" ht="15" customHeight="1" x14ac:dyDescent="0.25">
      <c r="A13" s="55" t="s">
        <v>32</v>
      </c>
      <c r="B13" s="47">
        <f>(B7-B4)/B11</f>
        <v>1.891402083057482</v>
      </c>
      <c r="C13" s="43"/>
    </row>
    <row r="14" spans="1:5" ht="15" customHeight="1" x14ac:dyDescent="0.25">
      <c r="A14" s="43"/>
      <c r="B14" s="43"/>
      <c r="C14" s="43"/>
    </row>
    <row r="15" spans="1:5" ht="15" customHeight="1" x14ac:dyDescent="0.25">
      <c r="A15" s="56" t="s">
        <v>39</v>
      </c>
      <c r="B15" s="56"/>
      <c r="C15" s="57"/>
      <c r="D15" s="58" t="s">
        <v>35</v>
      </c>
      <c r="E15" s="58"/>
    </row>
    <row r="16" spans="1:5" ht="15" customHeight="1" x14ac:dyDescent="0.25">
      <c r="A16" s="46" t="s">
        <v>33</v>
      </c>
      <c r="B16" s="47">
        <f>(_xlfn.T.INV.2T(2*B5, B12))</f>
        <v>1.7291328115213698</v>
      </c>
      <c r="C16" s="53"/>
      <c r="D16" s="59" t="s">
        <v>36</v>
      </c>
      <c r="E16" s="34"/>
    </row>
    <row r="17" spans="1:6" ht="15" customHeight="1" x14ac:dyDescent="0.25">
      <c r="A17" s="55" t="s">
        <v>34</v>
      </c>
      <c r="B17" s="47">
        <f>IF(B13&lt;0, E18, E17)</f>
        <v>3.6957970418344262E-2</v>
      </c>
      <c r="C17" s="53"/>
      <c r="D17" s="59" t="s">
        <v>37</v>
      </c>
      <c r="E17" s="43">
        <f>_xlfn.T.DIST.RT(ABS(B13), B12)</f>
        <v>3.6957970418344262E-2</v>
      </c>
    </row>
    <row r="18" spans="1:6" ht="15" customHeight="1" x14ac:dyDescent="0.25">
      <c r="A18" s="56" t="str">
        <f>IF(B17&lt;$B$5, "Reject the null hypothesis", "Do not reject the null hypothesis")</f>
        <v>Reject the null hypothesis</v>
      </c>
      <c r="B18" s="56"/>
      <c r="C18" s="53"/>
      <c r="D18" s="59" t="s">
        <v>38</v>
      </c>
      <c r="E18" s="43">
        <f>1-E17</f>
        <v>0.96304202958165575</v>
      </c>
    </row>
    <row r="19" spans="1:6" ht="15" customHeight="1" x14ac:dyDescent="0.25">
      <c r="C19" s="57"/>
      <c r="D19" s="60"/>
      <c r="E19" s="43"/>
    </row>
    <row r="20" spans="1:6" ht="15" customHeight="1" x14ac:dyDescent="0.25">
      <c r="C20" s="57"/>
    </row>
    <row r="21" spans="1:6" ht="15" customHeight="1" x14ac:dyDescent="0.25">
      <c r="C21" s="57"/>
    </row>
    <row r="22" spans="1:6" ht="15" customHeight="1" x14ac:dyDescent="0.25">
      <c r="C22" s="53"/>
    </row>
    <row r="23" spans="1:6" ht="15" customHeight="1" x14ac:dyDescent="0.25">
      <c r="C23" s="53"/>
    </row>
    <row r="24" spans="1:6" ht="15" customHeight="1" x14ac:dyDescent="0.25">
      <c r="C24" s="57"/>
    </row>
    <row r="25" spans="1:6" ht="15" customHeight="1" x14ac:dyDescent="0.25">
      <c r="C25" s="38"/>
    </row>
    <row r="26" spans="1:6" ht="15" customHeight="1" x14ac:dyDescent="0.25">
      <c r="C26" s="57"/>
    </row>
    <row r="27" spans="1:6" ht="15" customHeight="1" x14ac:dyDescent="0.25">
      <c r="C27" s="53"/>
    </row>
    <row r="28" spans="1:6" ht="15" customHeight="1" x14ac:dyDescent="0.25">
      <c r="C28" s="53"/>
    </row>
    <row r="29" spans="1:6" ht="15" customHeight="1" x14ac:dyDescent="0.25">
      <c r="C29" s="57"/>
    </row>
    <row r="32" spans="1:6" ht="15" customHeight="1" x14ac:dyDescent="0.25">
      <c r="F32" s="61"/>
    </row>
  </sheetData>
  <mergeCells count="2">
    <mergeCell ref="A3:B3"/>
    <mergeCell ref="A10:B10"/>
  </mergeCells>
  <printOptions gridLines="1" gridLinesSet="0"/>
  <pageMargins left="0.75" right="0.75" top="1" bottom="1" header="0.5" footer="0.5"/>
  <pageSetup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B20"/>
  <sheetViews>
    <sheetView workbookViewId="0">
      <selection activeCell="E10" sqref="E10"/>
    </sheetView>
  </sheetViews>
  <sheetFormatPr defaultRowHeight="15" customHeight="1" x14ac:dyDescent="0.25"/>
  <cols>
    <col min="1" max="1" width="28.85546875" style="32" customWidth="1"/>
    <col min="2" max="2" width="12" style="32" customWidth="1"/>
    <col min="3" max="16384" width="9.140625" style="32"/>
  </cols>
  <sheetData>
    <row r="1" spans="1:2" ht="15" customHeight="1" x14ac:dyDescent="0.25">
      <c r="A1" s="30" t="s">
        <v>11</v>
      </c>
      <c r="B1" s="31"/>
    </row>
    <row r="2" spans="1:2" ht="15" customHeight="1" x14ac:dyDescent="0.25">
      <c r="A2" s="33"/>
      <c r="B2" s="34"/>
    </row>
    <row r="3" spans="1:2" ht="15" customHeight="1" x14ac:dyDescent="0.25">
      <c r="A3" s="35" t="s">
        <v>8</v>
      </c>
      <c r="B3" s="36"/>
    </row>
    <row r="4" spans="1:2" ht="15" customHeight="1" x14ac:dyDescent="0.25">
      <c r="A4" s="37" t="s">
        <v>23</v>
      </c>
      <c r="B4" s="50">
        <v>10</v>
      </c>
    </row>
    <row r="5" spans="1:2" ht="15" customHeight="1" x14ac:dyDescent="0.25">
      <c r="A5" s="37" t="s">
        <v>24</v>
      </c>
      <c r="B5" s="50">
        <v>3</v>
      </c>
    </row>
    <row r="6" spans="1:2" ht="15" customHeight="1" x14ac:dyDescent="0.25">
      <c r="A6" s="37" t="s">
        <v>12</v>
      </c>
      <c r="B6" s="51">
        <v>0.95</v>
      </c>
    </row>
    <row r="7" spans="1:2" ht="15" customHeight="1" x14ac:dyDescent="0.25">
      <c r="A7" s="38"/>
      <c r="B7" s="39"/>
    </row>
    <row r="8" spans="1:2" ht="15" customHeight="1" x14ac:dyDescent="0.25">
      <c r="A8" s="40" t="s">
        <v>25</v>
      </c>
      <c r="B8" s="40"/>
    </row>
    <row r="9" spans="1:2" ht="15" customHeight="1" x14ac:dyDescent="0.25">
      <c r="A9" s="41" t="s">
        <v>26</v>
      </c>
      <c r="B9" s="42">
        <f>_xlfn.NORM.S.INV((1-B6)/2)</f>
        <v>-1.9599639845400536</v>
      </c>
    </row>
    <row r="10" spans="1:2" ht="15" customHeight="1" x14ac:dyDescent="0.25">
      <c r="A10" s="41" t="s">
        <v>27</v>
      </c>
      <c r="B10" s="42">
        <f>((B9*B4)/B5)^2</f>
        <v>42.682875785490261</v>
      </c>
    </row>
    <row r="11" spans="1:2" ht="15" customHeight="1" x14ac:dyDescent="0.25">
      <c r="A11" s="43"/>
      <c r="B11" s="44"/>
    </row>
    <row r="12" spans="1:2" ht="15" customHeight="1" x14ac:dyDescent="0.25">
      <c r="A12" s="45" t="s">
        <v>28</v>
      </c>
      <c r="B12" s="45"/>
    </row>
    <row r="13" spans="1:2" ht="15" customHeight="1" x14ac:dyDescent="0.25">
      <c r="A13" s="46" t="s">
        <v>29</v>
      </c>
      <c r="B13" s="47">
        <f>ROUNDUP(B10, 0)</f>
        <v>43</v>
      </c>
    </row>
    <row r="14" spans="1:2" ht="15" customHeight="1" x14ac:dyDescent="0.25">
      <c r="A14" s="38"/>
      <c r="B14" s="48"/>
    </row>
    <row r="15" spans="1:2" ht="15" customHeight="1" x14ac:dyDescent="0.25">
      <c r="A15" s="38"/>
      <c r="B15" s="48"/>
    </row>
    <row r="20" spans="2:2" ht="15" customHeight="1" x14ac:dyDescent="0.25">
      <c r="B20" s="43"/>
    </row>
  </sheetData>
  <mergeCells count="2">
    <mergeCell ref="A8:B8"/>
    <mergeCell ref="A12:B12"/>
  </mergeCells>
  <pageMargins left="0.75" right="0.75" top="1" bottom="1" header="0.5" footer="0.5"/>
  <pageSetup orientation="portrait" horizontalDpi="0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B26"/>
  <sheetViews>
    <sheetView workbookViewId="0">
      <selection activeCell="B19" sqref="B19"/>
    </sheetView>
  </sheetViews>
  <sheetFormatPr defaultRowHeight="15" customHeight="1" x14ac:dyDescent="0.25"/>
  <cols>
    <col min="1" max="1" width="26" style="7" customWidth="1"/>
    <col min="2" max="2" width="12" style="7" customWidth="1"/>
    <col min="3" max="16384" width="9.140625" style="7"/>
  </cols>
  <sheetData>
    <row r="1" spans="1:2" ht="15" customHeight="1" x14ac:dyDescent="0.25">
      <c r="A1" s="5" t="s">
        <v>21</v>
      </c>
      <c r="B1" s="6"/>
    </row>
    <row r="2" spans="1:2" ht="15" customHeight="1" x14ac:dyDescent="0.25">
      <c r="A2" s="8"/>
      <c r="B2" s="6"/>
    </row>
    <row r="3" spans="1:2" ht="15" customHeight="1" x14ac:dyDescent="0.25">
      <c r="A3" s="9" t="s">
        <v>8</v>
      </c>
      <c r="B3" s="10"/>
    </row>
    <row r="4" spans="1:2" ht="15" customHeight="1" x14ac:dyDescent="0.25">
      <c r="A4" s="11" t="s">
        <v>9</v>
      </c>
      <c r="B4" s="26">
        <v>11.9405</v>
      </c>
    </row>
    <row r="5" spans="1:2" ht="15" customHeight="1" x14ac:dyDescent="0.25">
      <c r="A5" s="11" t="s">
        <v>10</v>
      </c>
      <c r="B5" s="26">
        <v>80.05</v>
      </c>
    </row>
    <row r="6" spans="1:2" ht="15" customHeight="1" x14ac:dyDescent="0.25">
      <c r="A6" s="11" t="s">
        <v>11</v>
      </c>
      <c r="B6" s="26">
        <v>20</v>
      </c>
    </row>
    <row r="7" spans="1:2" ht="15" customHeight="1" x14ac:dyDescent="0.25">
      <c r="A7" s="11" t="s">
        <v>12</v>
      </c>
      <c r="B7" s="27">
        <v>0.95</v>
      </c>
    </row>
    <row r="8" spans="1:2" s="14" customFormat="1" ht="15" customHeight="1" x14ac:dyDescent="0.25">
      <c r="A8" s="12"/>
      <c r="B8" s="13"/>
    </row>
    <row r="9" spans="1:2" s="14" customFormat="1" ht="15" customHeight="1" x14ac:dyDescent="0.25">
      <c r="A9" s="15" t="s">
        <v>13</v>
      </c>
      <c r="B9" s="16"/>
    </row>
    <row r="10" spans="1:2" ht="15" customHeight="1" x14ac:dyDescent="0.25">
      <c r="A10" s="17" t="s">
        <v>14</v>
      </c>
      <c r="B10" s="19">
        <f>B4/SQRT(B6)</f>
        <v>2.6699769685336237</v>
      </c>
    </row>
    <row r="11" spans="1:2" ht="15" customHeight="1" x14ac:dyDescent="0.25">
      <c r="A11" s="17" t="s">
        <v>15</v>
      </c>
      <c r="B11" s="19">
        <f>B6-1</f>
        <v>19</v>
      </c>
    </row>
    <row r="12" spans="1:2" ht="15" customHeight="1" x14ac:dyDescent="0.25">
      <c r="A12" s="18" t="s">
        <v>16</v>
      </c>
      <c r="B12" s="19">
        <f>_xlfn.T.INV.2T(1-B7, B11)</f>
        <v>2.0930240544083087</v>
      </c>
    </row>
    <row r="13" spans="1:2" ht="15" customHeight="1" x14ac:dyDescent="0.25">
      <c r="A13" s="17" t="s">
        <v>17</v>
      </c>
      <c r="B13" s="19">
        <f>B12*B10</f>
        <v>5.5883260198570506</v>
      </c>
    </row>
    <row r="14" spans="1:2" ht="15" customHeight="1" x14ac:dyDescent="0.25">
      <c r="A14" s="20"/>
      <c r="B14" s="20"/>
    </row>
    <row r="15" spans="1:2" ht="15" customHeight="1" x14ac:dyDescent="0.25">
      <c r="A15" s="21" t="s">
        <v>18</v>
      </c>
      <c r="B15" s="22"/>
    </row>
    <row r="16" spans="1:2" ht="15" customHeight="1" x14ac:dyDescent="0.25">
      <c r="A16" s="23" t="s">
        <v>19</v>
      </c>
      <c r="B16" s="28">
        <f>B5-B13</f>
        <v>74.461673980142947</v>
      </c>
    </row>
    <row r="17" spans="1:2" ht="15" customHeight="1" x14ac:dyDescent="0.25">
      <c r="A17" s="23" t="s">
        <v>20</v>
      </c>
      <c r="B17" s="28">
        <f>B5+B13</f>
        <v>85.638326019857047</v>
      </c>
    </row>
    <row r="18" spans="1:2" ht="15" customHeight="1" x14ac:dyDescent="0.25">
      <c r="A18" s="24"/>
      <c r="B18" s="24"/>
    </row>
    <row r="19" spans="1:2" ht="15" customHeight="1" x14ac:dyDescent="0.25">
      <c r="A19" s="24" t="s">
        <v>22</v>
      </c>
      <c r="B19" s="29">
        <f>B5-B16</f>
        <v>5.5883260198570497</v>
      </c>
    </row>
    <row r="20" spans="1:2" ht="15" customHeight="1" x14ac:dyDescent="0.25">
      <c r="A20" s="24" t="s">
        <v>22</v>
      </c>
      <c r="B20" s="29">
        <f>B17-B5</f>
        <v>5.5883260198570497</v>
      </c>
    </row>
    <row r="26" spans="1:2" ht="15" customHeight="1" x14ac:dyDescent="0.25">
      <c r="B26" s="25"/>
    </row>
  </sheetData>
  <mergeCells count="2">
    <mergeCell ref="A9:B9"/>
    <mergeCell ref="A15:B15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"/>
  <sheetViews>
    <sheetView workbookViewId="0">
      <selection activeCell="F14" sqref="F14"/>
    </sheetView>
  </sheetViews>
  <sheetFormatPr defaultRowHeight="15.75" x14ac:dyDescent="0.25"/>
  <cols>
    <col min="1" max="1" width="9.140625" style="2"/>
    <col min="2" max="2" width="17.28515625" style="1" customWidth="1"/>
    <col min="3" max="3" width="14.85546875" style="1" customWidth="1"/>
    <col min="4" max="6" width="9.140625" style="2"/>
    <col min="7" max="7" width="18.7109375" style="2" customWidth="1"/>
    <col min="8" max="16384" width="9.140625" style="2"/>
  </cols>
  <sheetData>
    <row r="1" spans="2:11" x14ac:dyDescent="0.25">
      <c r="B1" s="1" t="s">
        <v>0</v>
      </c>
      <c r="C1" s="1" t="s">
        <v>1</v>
      </c>
      <c r="F1" s="2" t="s">
        <v>4</v>
      </c>
      <c r="G1" s="3" t="s">
        <v>5</v>
      </c>
      <c r="H1" s="3"/>
      <c r="I1" s="3"/>
      <c r="J1" s="3"/>
      <c r="K1" s="3"/>
    </row>
    <row r="2" spans="2:11" x14ac:dyDescent="0.25">
      <c r="B2" s="1">
        <v>708</v>
      </c>
      <c r="C2" s="1">
        <v>69</v>
      </c>
      <c r="G2" s="3" t="s">
        <v>2</v>
      </c>
      <c r="H2" s="4">
        <f>AVERAGE(C2:C21)</f>
        <v>80.05</v>
      </c>
      <c r="I2" s="3" t="s">
        <v>6</v>
      </c>
      <c r="J2" s="3"/>
      <c r="K2" s="3"/>
    </row>
    <row r="3" spans="2:11" x14ac:dyDescent="0.25">
      <c r="B3" s="1">
        <v>875</v>
      </c>
      <c r="C3" s="1">
        <v>90</v>
      </c>
      <c r="G3" s="3" t="s">
        <v>3</v>
      </c>
      <c r="H3" s="4">
        <f>_xlfn.STDEV.S(C2:C21)</f>
        <v>11.940532475123273</v>
      </c>
      <c r="I3" s="3" t="s">
        <v>7</v>
      </c>
      <c r="J3" s="3"/>
      <c r="K3" s="3"/>
    </row>
    <row r="4" spans="2:11" x14ac:dyDescent="0.25">
      <c r="B4" s="1">
        <v>654</v>
      </c>
      <c r="C4" s="1">
        <v>79</v>
      </c>
    </row>
    <row r="5" spans="2:11" x14ac:dyDescent="0.25">
      <c r="B5" s="1">
        <v>704</v>
      </c>
      <c r="C5" s="1">
        <v>80</v>
      </c>
    </row>
    <row r="6" spans="2:11" x14ac:dyDescent="0.25">
      <c r="B6" s="1">
        <v>787</v>
      </c>
      <c r="C6" s="1">
        <v>95</v>
      </c>
    </row>
    <row r="7" spans="2:11" x14ac:dyDescent="0.25">
      <c r="B7" s="1">
        <v>730</v>
      </c>
      <c r="C7" s="1">
        <v>71</v>
      </c>
    </row>
    <row r="8" spans="2:11" x14ac:dyDescent="0.25">
      <c r="B8" s="1">
        <v>667</v>
      </c>
      <c r="C8" s="1">
        <v>86</v>
      </c>
    </row>
    <row r="9" spans="2:11" x14ac:dyDescent="0.25">
      <c r="B9" s="1">
        <v>619</v>
      </c>
      <c r="C9" s="1">
        <v>63</v>
      </c>
    </row>
    <row r="10" spans="2:11" x14ac:dyDescent="0.25">
      <c r="B10" s="1">
        <v>867</v>
      </c>
      <c r="C10" s="1">
        <v>97</v>
      </c>
    </row>
    <row r="11" spans="2:11" x14ac:dyDescent="0.25">
      <c r="B11" s="1">
        <v>645</v>
      </c>
      <c r="C11" s="1">
        <v>74</v>
      </c>
    </row>
    <row r="12" spans="2:11" x14ac:dyDescent="0.25">
      <c r="B12" s="1">
        <v>556</v>
      </c>
      <c r="C12" s="1">
        <v>67</v>
      </c>
    </row>
    <row r="13" spans="2:11" x14ac:dyDescent="0.25">
      <c r="B13" s="1">
        <v>707</v>
      </c>
      <c r="C13" s="1">
        <v>91</v>
      </c>
    </row>
    <row r="14" spans="2:11" x14ac:dyDescent="0.25">
      <c r="B14" s="1">
        <v>855</v>
      </c>
      <c r="C14" s="1">
        <v>96</v>
      </c>
    </row>
    <row r="15" spans="2:11" x14ac:dyDescent="0.25">
      <c r="B15" s="1">
        <v>743</v>
      </c>
      <c r="C15" s="1">
        <v>81</v>
      </c>
    </row>
    <row r="16" spans="2:11" x14ac:dyDescent="0.25">
      <c r="B16" s="1">
        <v>731</v>
      </c>
      <c r="C16" s="1">
        <v>94</v>
      </c>
    </row>
    <row r="17" spans="2:3" x14ac:dyDescent="0.25">
      <c r="B17" s="1">
        <v>641</v>
      </c>
      <c r="C17" s="1">
        <v>89</v>
      </c>
    </row>
    <row r="18" spans="2:3" x14ac:dyDescent="0.25">
      <c r="B18" s="1">
        <v>654</v>
      </c>
      <c r="C18" s="1">
        <v>71</v>
      </c>
    </row>
    <row r="19" spans="2:3" x14ac:dyDescent="0.25">
      <c r="B19" s="1">
        <v>735</v>
      </c>
      <c r="C19" s="1">
        <v>79</v>
      </c>
    </row>
    <row r="20" spans="2:3" x14ac:dyDescent="0.25">
      <c r="B20" s="1">
        <v>735</v>
      </c>
      <c r="C20" s="1">
        <v>73</v>
      </c>
    </row>
    <row r="21" spans="2:3" x14ac:dyDescent="0.25">
      <c r="B21" s="1">
        <v>615</v>
      </c>
      <c r="C21" s="1">
        <v>56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Charts</vt:lpstr>
      </vt:variant>
      <vt:variant>
        <vt:i4>2</vt:i4>
      </vt:variant>
    </vt:vector>
  </HeadingPairs>
  <TitlesOfParts>
    <vt:vector size="17" baseType="lpstr">
      <vt:lpstr>CIEandPI</vt:lpstr>
      <vt:lpstr>SLRData2</vt:lpstr>
      <vt:lpstr>COMPUTE2</vt:lpstr>
      <vt:lpstr>PlotData</vt:lpstr>
      <vt:lpstr>Plot</vt:lpstr>
      <vt:lpstr>Residuals</vt:lpstr>
      <vt:lpstr>SLRData</vt:lpstr>
      <vt:lpstr>COMPUTE</vt:lpstr>
      <vt:lpstr>SampleSize2</vt:lpstr>
      <vt:lpstr>Confidence2</vt:lpstr>
      <vt:lpstr>Hypothesis2</vt:lpstr>
      <vt:lpstr>Hypothesis</vt:lpstr>
      <vt:lpstr>SampleSize</vt:lpstr>
      <vt:lpstr>Confidence</vt:lpstr>
      <vt:lpstr>Sheet1</vt:lpstr>
      <vt:lpstr>Residual Plot</vt:lpstr>
      <vt:lpstr>NormalPlot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wanja</dc:creator>
  <cp:lastModifiedBy>wanja</cp:lastModifiedBy>
  <dcterms:created xsi:type="dcterms:W3CDTF">2018-12-08T18:59:21Z</dcterms:created>
  <dcterms:modified xsi:type="dcterms:W3CDTF">2018-12-09T03:38:39Z</dcterms:modified>
</cp:coreProperties>
</file>