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Job\Desktop\"/>
    </mc:Choice>
  </mc:AlternateContent>
  <bookViews>
    <workbookView xWindow="0" yWindow="465" windowWidth="25605" windowHeight="15525" firstSheet="2" activeTab="4"/>
  </bookViews>
  <sheets>
    <sheet name="Info" sheetId="2" r:id="rId1"/>
    <sheet name="Rent Market Project" sheetId="5" r:id="rId2"/>
    <sheet name="Building Purchase&amp;Depreciation" sheetId="6" r:id="rId3"/>
    <sheet name="Yearly Cashflow" sheetId="3" r:id="rId4"/>
    <sheet name="DCF Outline" sheetId="7" r:id="rId5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5" i="7" l="1"/>
  <c r="B3" i="7"/>
  <c r="B5" i="7"/>
  <c r="B6" i="7"/>
  <c r="B7" i="7"/>
  <c r="B8" i="7"/>
  <c r="B9" i="7"/>
  <c r="B10" i="7"/>
  <c r="B15" i="7"/>
  <c r="B16" i="7"/>
  <c r="B17" i="7"/>
  <c r="B18" i="7"/>
  <c r="B19" i="7"/>
  <c r="B11" i="7"/>
  <c r="B12" i="7"/>
  <c r="B35" i="7"/>
  <c r="G3" i="7"/>
  <c r="G4" i="7"/>
  <c r="G5" i="7"/>
  <c r="G6" i="7"/>
  <c r="G8" i="7"/>
  <c r="B23" i="7"/>
  <c r="B30" i="7"/>
  <c r="B28" i="7"/>
  <c r="B24" i="7"/>
  <c r="B25" i="7"/>
  <c r="B26" i="7"/>
  <c r="B27" i="7"/>
  <c r="B37" i="7"/>
  <c r="B4" i="6"/>
  <c r="B3" i="6"/>
  <c r="B5" i="6"/>
  <c r="B10" i="6"/>
  <c r="D17" i="6"/>
  <c r="C17" i="6"/>
  <c r="B17" i="6"/>
  <c r="E17" i="6"/>
  <c r="D18" i="6"/>
  <c r="E18" i="6"/>
  <c r="D19" i="6"/>
  <c r="E19" i="6"/>
  <c r="D20" i="6"/>
  <c r="E20" i="6"/>
  <c r="D21" i="6"/>
  <c r="E21" i="6"/>
  <c r="D22" i="6"/>
  <c r="E22" i="6"/>
  <c r="D23" i="6"/>
  <c r="E23" i="6"/>
  <c r="D24" i="6"/>
  <c r="E24" i="6"/>
  <c r="D25" i="6"/>
  <c r="E25" i="6"/>
  <c r="D26" i="6"/>
  <c r="E26" i="6"/>
  <c r="D27" i="6"/>
  <c r="E27" i="6"/>
  <c r="D28" i="6"/>
  <c r="E28" i="6"/>
  <c r="D29" i="6"/>
  <c r="E29" i="6"/>
  <c r="D30" i="6"/>
  <c r="E30" i="6"/>
  <c r="D31" i="6"/>
  <c r="E31" i="6"/>
  <c r="D32" i="6"/>
  <c r="E32" i="6"/>
  <c r="D33" i="6"/>
  <c r="E33" i="6"/>
  <c r="D34" i="6"/>
  <c r="E34" i="6"/>
  <c r="D35" i="6"/>
  <c r="E35" i="6"/>
  <c r="D36" i="6"/>
  <c r="E36" i="6"/>
  <c r="D37" i="6"/>
  <c r="E37" i="6"/>
  <c r="D38" i="6"/>
  <c r="E38" i="6"/>
  <c r="D39" i="6"/>
  <c r="E39" i="6"/>
  <c r="D40" i="6"/>
  <c r="E40" i="6"/>
  <c r="D41" i="6"/>
  <c r="E41" i="6"/>
  <c r="D42" i="6"/>
  <c r="E42" i="6"/>
  <c r="D43" i="6"/>
  <c r="E43" i="6"/>
  <c r="D44" i="6"/>
  <c r="E44" i="6"/>
  <c r="D45" i="6"/>
  <c r="E45" i="6"/>
  <c r="D46" i="6"/>
  <c r="E46" i="6"/>
  <c r="D47" i="6"/>
  <c r="E47" i="6"/>
  <c r="D48" i="6"/>
  <c r="E48" i="6"/>
  <c r="D49" i="6"/>
  <c r="E49" i="6"/>
  <c r="D50" i="6"/>
  <c r="E50" i="6"/>
  <c r="D51" i="6"/>
  <c r="E51" i="6"/>
  <c r="D52" i="6"/>
  <c r="E52" i="6"/>
  <c r="D53" i="6"/>
  <c r="E53" i="6"/>
  <c r="D54" i="6"/>
  <c r="E54" i="6"/>
  <c r="D55" i="6"/>
  <c r="E55" i="6"/>
  <c r="D56" i="6"/>
  <c r="E56" i="6"/>
  <c r="D57" i="6"/>
  <c r="E57" i="6"/>
  <c r="D58" i="6"/>
  <c r="E58" i="6"/>
  <c r="D59" i="6"/>
  <c r="E59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94" i="6"/>
  <c r="B95" i="6"/>
  <c r="B99" i="6"/>
  <c r="B100" i="6"/>
  <c r="C16" i="7"/>
  <c r="B101" i="6"/>
  <c r="D16" i="7"/>
  <c r="B102" i="6"/>
  <c r="E16" i="7"/>
  <c r="B103" i="6"/>
  <c r="C103" i="6"/>
  <c r="F16" i="7"/>
  <c r="B104" i="6"/>
  <c r="G16" i="7"/>
  <c r="C104" i="6"/>
  <c r="D99" i="6"/>
  <c r="D100" i="6"/>
  <c r="D101" i="6"/>
  <c r="D102" i="6"/>
  <c r="D103" i="6"/>
  <c r="D104" i="6"/>
  <c r="C102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17" i="7"/>
  <c r="C41" i="6"/>
  <c r="C42" i="6"/>
  <c r="C43" i="6"/>
  <c r="C44" i="6"/>
  <c r="C45" i="6"/>
  <c r="C46" i="6"/>
  <c r="C47" i="6"/>
  <c r="C48" i="6"/>
  <c r="C49" i="6"/>
  <c r="C50" i="6"/>
  <c r="C51" i="6"/>
  <c r="C52" i="6"/>
  <c r="D17" i="7"/>
  <c r="C53" i="6"/>
  <c r="C54" i="6"/>
  <c r="C55" i="6"/>
  <c r="C56" i="6"/>
  <c r="C57" i="6"/>
  <c r="C58" i="6"/>
  <c r="C59" i="6"/>
  <c r="C60" i="6"/>
  <c r="C61" i="6"/>
  <c r="C62" i="6"/>
  <c r="C63" i="6"/>
  <c r="C64" i="6"/>
  <c r="E17" i="7"/>
  <c r="C65" i="6"/>
  <c r="C66" i="6"/>
  <c r="C67" i="6"/>
  <c r="C68" i="6"/>
  <c r="C69" i="6"/>
  <c r="C70" i="6"/>
  <c r="C71" i="6"/>
  <c r="C72" i="6"/>
  <c r="C73" i="6"/>
  <c r="C74" i="6"/>
  <c r="C75" i="6"/>
  <c r="C76" i="6"/>
  <c r="F17" i="7"/>
  <c r="C77" i="6"/>
  <c r="C78" i="6"/>
  <c r="C79" i="6"/>
  <c r="C80" i="6"/>
  <c r="C81" i="6"/>
  <c r="C82" i="6"/>
  <c r="C83" i="6"/>
  <c r="C84" i="6"/>
  <c r="C85" i="6"/>
  <c r="C86" i="6"/>
  <c r="C87" i="6"/>
  <c r="C88" i="6"/>
  <c r="G17" i="7"/>
  <c r="B8" i="6"/>
  <c r="B9" i="6"/>
  <c r="B29" i="6"/>
  <c r="E82" i="3"/>
  <c r="F9" i="7"/>
  <c r="E65" i="3"/>
  <c r="E9" i="7"/>
  <c r="E48" i="3"/>
  <c r="D9" i="7"/>
  <c r="E30" i="3"/>
  <c r="C9" i="7"/>
  <c r="E13" i="3"/>
  <c r="E97" i="3"/>
  <c r="D97" i="3"/>
  <c r="C97" i="3"/>
  <c r="B97" i="3"/>
  <c r="E80" i="3"/>
  <c r="D80" i="3"/>
  <c r="C80" i="3"/>
  <c r="B80" i="3"/>
  <c r="E63" i="3"/>
  <c r="D63" i="3"/>
  <c r="E45" i="3"/>
  <c r="D45" i="3"/>
  <c r="E11" i="3"/>
  <c r="D11" i="3"/>
  <c r="C11" i="3"/>
  <c r="B11" i="3"/>
  <c r="B25" i="6"/>
  <c r="B26" i="6"/>
  <c r="B27" i="6"/>
  <c r="B28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19" i="6"/>
  <c r="B20" i="6"/>
  <c r="B21" i="6"/>
  <c r="B22" i="6"/>
  <c r="B23" i="6"/>
  <c r="B24" i="6"/>
  <c r="B18" i="6"/>
  <c r="B8" i="3"/>
  <c r="C8" i="3"/>
  <c r="D8" i="3"/>
  <c r="E8" i="3"/>
  <c r="E6" i="3"/>
  <c r="B12" i="3"/>
  <c r="E12" i="3"/>
  <c r="B6" i="6"/>
  <c r="B38" i="7"/>
  <c r="D93" i="3"/>
  <c r="D94" i="3"/>
  <c r="D98" i="3"/>
  <c r="C59" i="3"/>
  <c r="C60" i="3"/>
  <c r="D59" i="3"/>
  <c r="D60" i="3"/>
  <c r="D64" i="3"/>
  <c r="C63" i="3"/>
  <c r="D76" i="3"/>
  <c r="D77" i="3"/>
  <c r="D81" i="3"/>
  <c r="C41" i="3"/>
  <c r="C42" i="3"/>
  <c r="D41" i="3"/>
  <c r="D42" i="3"/>
  <c r="D46" i="3"/>
  <c r="C45" i="3"/>
  <c r="E47" i="3"/>
  <c r="D7" i="7"/>
  <c r="B25" i="3"/>
  <c r="C24" i="3"/>
  <c r="C25" i="3"/>
  <c r="D24" i="3"/>
  <c r="D25" i="3"/>
  <c r="E23" i="3"/>
  <c r="E28" i="3"/>
  <c r="B29" i="3"/>
  <c r="E29" i="3"/>
  <c r="C7" i="7"/>
  <c r="B63" i="3"/>
  <c r="B45" i="3"/>
  <c r="D28" i="3"/>
  <c r="C28" i="3"/>
  <c r="B28" i="3"/>
  <c r="B4" i="5"/>
  <c r="B5" i="5"/>
  <c r="E40" i="3"/>
  <c r="E58" i="3"/>
  <c r="E75" i="3"/>
  <c r="E92" i="3"/>
  <c r="C64" i="3"/>
  <c r="C46" i="3"/>
  <c r="E24" i="3"/>
  <c r="E7" i="3"/>
  <c r="B25" i="2"/>
  <c r="B9" i="2"/>
  <c r="B10" i="2"/>
  <c r="F6" i="7"/>
  <c r="D6" i="7"/>
  <c r="E6" i="7"/>
  <c r="B41" i="3"/>
  <c r="B6" i="5"/>
  <c r="C6" i="7"/>
  <c r="E25" i="3"/>
  <c r="E41" i="3"/>
  <c r="B42" i="3"/>
  <c r="B11" i="6"/>
  <c r="B7" i="5"/>
  <c r="B59" i="3"/>
  <c r="E99" i="3"/>
  <c r="C3" i="7"/>
  <c r="C5" i="7"/>
  <c r="C8" i="7"/>
  <c r="C10" i="7"/>
  <c r="C15" i="7"/>
  <c r="E14" i="3"/>
  <c r="E16" i="3"/>
  <c r="B60" i="3"/>
  <c r="E59" i="3"/>
  <c r="E42" i="3"/>
  <c r="B46" i="3"/>
  <c r="E31" i="3"/>
  <c r="E33" i="3"/>
  <c r="C76" i="3"/>
  <c r="C77" i="3"/>
  <c r="C81" i="3"/>
  <c r="B76" i="3"/>
  <c r="B8" i="5"/>
  <c r="E76" i="3"/>
  <c r="B77" i="3"/>
  <c r="D3" i="7"/>
  <c r="E46" i="3"/>
  <c r="E60" i="3"/>
  <c r="B64" i="3"/>
  <c r="B93" i="3"/>
  <c r="B9" i="5"/>
  <c r="B10" i="5"/>
  <c r="C93" i="3"/>
  <c r="C94" i="3"/>
  <c r="C98" i="3"/>
  <c r="C18" i="7"/>
  <c r="C19" i="7"/>
  <c r="C11" i="7"/>
  <c r="C12" i="7"/>
  <c r="C38" i="7"/>
  <c r="E93" i="3"/>
  <c r="B94" i="3"/>
  <c r="E3" i="7"/>
  <c r="E64" i="3"/>
  <c r="E77" i="3"/>
  <c r="B81" i="3"/>
  <c r="D4" i="7"/>
  <c r="D5" i="7"/>
  <c r="D8" i="7"/>
  <c r="E49" i="3"/>
  <c r="E51" i="3"/>
  <c r="D10" i="7"/>
  <c r="D15" i="7"/>
  <c r="D18" i="7"/>
  <c r="D19" i="7"/>
  <c r="D11" i="7"/>
  <c r="E4" i="7"/>
  <c r="E66" i="3"/>
  <c r="E68" i="3"/>
  <c r="E94" i="3"/>
  <c r="B98" i="3"/>
  <c r="E5" i="7"/>
  <c r="E8" i="7"/>
  <c r="F3" i="7"/>
  <c r="E81" i="3"/>
  <c r="E15" i="7"/>
  <c r="E10" i="7"/>
  <c r="D12" i="7"/>
  <c r="D35" i="7"/>
  <c r="F4" i="7"/>
  <c r="F5" i="7"/>
  <c r="F8" i="7"/>
  <c r="E83" i="3"/>
  <c r="E85" i="3"/>
  <c r="E98" i="3"/>
  <c r="F10" i="7"/>
  <c r="F15" i="7"/>
  <c r="D38" i="7"/>
  <c r="E100" i="3"/>
  <c r="E102" i="3"/>
  <c r="E18" i="7"/>
  <c r="E19" i="7"/>
  <c r="E11" i="7"/>
  <c r="E12" i="7"/>
  <c r="E35" i="7"/>
  <c r="D23" i="7"/>
  <c r="E38" i="7"/>
  <c r="G15" i="7"/>
  <c r="F18" i="7"/>
  <c r="F19" i="7"/>
  <c r="F11" i="7"/>
  <c r="F12" i="7"/>
  <c r="F35" i="7"/>
  <c r="F38" i="7"/>
  <c r="G18" i="7"/>
  <c r="G19" i="7"/>
  <c r="G35" i="7"/>
  <c r="B29" i="7"/>
  <c r="G36" i="7"/>
  <c r="G38" i="7"/>
  <c r="I38" i="7"/>
  <c r="H35" i="7"/>
</calcChain>
</file>

<file path=xl/sharedStrings.xml><?xml version="1.0" encoding="utf-8"?>
<sst xmlns="http://schemas.openxmlformats.org/spreadsheetml/2006/main" count="219" uniqueCount="130">
  <si>
    <t>Asking price per SF</t>
  </si>
  <si>
    <t>Purchasing cost</t>
  </si>
  <si>
    <t>Tenants</t>
  </si>
  <si>
    <t>Tenant 1</t>
  </si>
  <si>
    <t>Currently renting SF</t>
  </si>
  <si>
    <t>Annual value per SF</t>
  </si>
  <si>
    <t>Lease expiry Yrs</t>
  </si>
  <si>
    <t>Tenant 2</t>
  </si>
  <si>
    <t>Annual increase</t>
  </si>
  <si>
    <t>Tenant 3</t>
  </si>
  <si>
    <t>Rental increase $ per SF</t>
  </si>
  <si>
    <t>Beginning of 2nd and 4th year</t>
  </si>
  <si>
    <t>of the PGI</t>
  </si>
  <si>
    <t>Increase of V&amp;C after the expiry of the second lease</t>
  </si>
  <si>
    <t>For the next 3 years</t>
  </si>
  <si>
    <t>With inflation</t>
  </si>
  <si>
    <t>of the remaining operating expenses</t>
  </si>
  <si>
    <t>Elevetor replacement cost</t>
  </si>
  <si>
    <t>in year 4</t>
  </si>
  <si>
    <t>Building Depreciation years</t>
  </si>
  <si>
    <t>Mid year convention for 1st and last year</t>
  </si>
  <si>
    <t>value of improvenemts</t>
  </si>
  <si>
    <t>of the purchasing price</t>
  </si>
  <si>
    <t>Going out cap rate</t>
  </si>
  <si>
    <t>Investor's return/Discount rate</t>
  </si>
  <si>
    <t>Selling costs</t>
  </si>
  <si>
    <t>of sales price</t>
  </si>
  <si>
    <t xml:space="preserve">Investor's period of holding the building </t>
  </si>
  <si>
    <t>Years</t>
  </si>
  <si>
    <t>Income tax</t>
  </si>
  <si>
    <t>Capital gains tax</t>
  </si>
  <si>
    <t>NB: tax depreciation recapture and pure capital gain</t>
  </si>
  <si>
    <t>Year 1</t>
  </si>
  <si>
    <t>Year 2</t>
  </si>
  <si>
    <t>Year 3</t>
  </si>
  <si>
    <t>Year 4</t>
  </si>
  <si>
    <t>Year 5</t>
  </si>
  <si>
    <t>NPV</t>
  </si>
  <si>
    <t>Investment Asking Price</t>
  </si>
  <si>
    <t>Total Asking Price</t>
  </si>
  <si>
    <t>Building Size SF</t>
  </si>
  <si>
    <t xml:space="preserve"> Price for Total SF</t>
  </si>
  <si>
    <t>Part 1 QUESTION</t>
  </si>
  <si>
    <t>Investment Returns</t>
  </si>
  <si>
    <t>V&amp;C after first lease expiry</t>
  </si>
  <si>
    <t>Notes</t>
  </si>
  <si>
    <t>For te next 4 years after depreciation</t>
  </si>
  <si>
    <t>Operating Expense per SF</t>
  </si>
  <si>
    <t>per year</t>
  </si>
  <si>
    <t>Market rate of Rent increase per year</t>
  </si>
  <si>
    <t>Market rate of Rent decrease per year</t>
  </si>
  <si>
    <t>Current annual market rate per SF</t>
  </si>
  <si>
    <t>Annual increase in Operation Cost</t>
  </si>
  <si>
    <t>Landlord cover operation cost</t>
  </si>
  <si>
    <t>for a period of three years</t>
  </si>
  <si>
    <t>Elevator Annual Capital Reserve Expense</t>
  </si>
  <si>
    <t>Annual Investment Costs</t>
  </si>
  <si>
    <t>Income</t>
  </si>
  <si>
    <t>Expense</t>
  </si>
  <si>
    <t>Operating expenses</t>
  </si>
  <si>
    <t>Income before tax</t>
  </si>
  <si>
    <t>TOTAL</t>
  </si>
  <si>
    <t>Vacancy and Collection Loss</t>
  </si>
  <si>
    <t xml:space="preserve">     Total rent per year</t>
  </si>
  <si>
    <t xml:space="preserve">     Total Expense</t>
  </si>
  <si>
    <t>Year 0</t>
  </si>
  <si>
    <t>Yearly Cashflows</t>
  </si>
  <si>
    <t>-</t>
  </si>
  <si>
    <t>Elevator Capital Reserve (assume the cost is distributed evenly on all tenants)</t>
  </si>
  <si>
    <t xml:space="preserve">Elevator Capital Reserve </t>
  </si>
  <si>
    <t>Year</t>
  </si>
  <si>
    <t>Annual Interest Rate</t>
  </si>
  <si>
    <t>IRR</t>
  </si>
  <si>
    <t>Rent</t>
  </si>
  <si>
    <t>Loan to Value Ratio</t>
  </si>
  <si>
    <t xml:space="preserve">                              Loan Amortization</t>
  </si>
  <si>
    <t>Purchasing Amount</t>
  </si>
  <si>
    <t>Loaned Amount</t>
  </si>
  <si>
    <t>Compounded Monthly Interest Rate</t>
  </si>
  <si>
    <t>Amortization Rate</t>
  </si>
  <si>
    <t>Annual Mortgage Loan Repayment</t>
  </si>
  <si>
    <t>Operating Cash Flows</t>
    <phoneticPr fontId="2" type="noConversion"/>
  </si>
  <si>
    <t>PGI</t>
    <phoneticPr fontId="2" type="noConversion"/>
  </si>
  <si>
    <t>V&amp;C</t>
    <phoneticPr fontId="2" type="noConversion"/>
  </si>
  <si>
    <t>EGI</t>
    <phoneticPr fontId="2" type="noConversion"/>
  </si>
  <si>
    <t>OE</t>
    <phoneticPr fontId="2" type="noConversion"/>
  </si>
  <si>
    <t>NOI</t>
    <phoneticPr fontId="2" type="noConversion"/>
  </si>
  <si>
    <t>DS</t>
    <phoneticPr fontId="2" type="noConversion"/>
  </si>
  <si>
    <t>BTCF</t>
    <phoneticPr fontId="2" type="noConversion"/>
  </si>
  <si>
    <t>Tax</t>
    <phoneticPr fontId="2" type="noConversion"/>
  </si>
  <si>
    <t>ATCF</t>
    <phoneticPr fontId="2" type="noConversion"/>
  </si>
  <si>
    <t>Tax liability</t>
    <phoneticPr fontId="2" type="noConversion"/>
  </si>
  <si>
    <t>Depreciation</t>
    <phoneticPr fontId="2" type="noConversion"/>
  </si>
  <si>
    <t>Interest</t>
    <phoneticPr fontId="2" type="noConversion"/>
  </si>
  <si>
    <t>Taxable income</t>
    <phoneticPr fontId="2" type="noConversion"/>
  </si>
  <si>
    <t xml:space="preserve">Tax </t>
    <phoneticPr fontId="2" type="noConversion"/>
  </si>
  <si>
    <t>Equity reversion</t>
    <phoneticPr fontId="2" type="noConversion"/>
  </si>
  <si>
    <t>Capital Gains Tax</t>
  </si>
  <si>
    <t>Sales price</t>
    <phoneticPr fontId="2" type="noConversion"/>
  </si>
  <si>
    <t>NSP</t>
    <phoneticPr fontId="2" type="noConversion"/>
  </si>
  <si>
    <t>Selling costs</t>
    <phoneticPr fontId="2" type="noConversion"/>
  </si>
  <si>
    <t>Mortgage balance</t>
    <phoneticPr fontId="2" type="noConversion"/>
  </si>
  <si>
    <t>CGT</t>
    <phoneticPr fontId="2" type="noConversion"/>
  </si>
  <si>
    <t>BTER</t>
    <phoneticPr fontId="2" type="noConversion"/>
  </si>
  <si>
    <t>ATER</t>
    <phoneticPr fontId="2" type="noConversion"/>
  </si>
  <si>
    <t>Discounted Cash Flow Analysis (DCF)</t>
  </si>
  <si>
    <t>ATCF</t>
  </si>
  <si>
    <t>ATER</t>
    <phoneticPr fontId="2" type="noConversion"/>
  </si>
  <si>
    <t>Initial equity investment</t>
  </si>
  <si>
    <t>Total CF</t>
    <phoneticPr fontId="2" type="noConversion"/>
  </si>
  <si>
    <t>CER</t>
  </si>
  <si>
    <t>Depreciation Calculation</t>
  </si>
  <si>
    <t>Loan Payment Schedule</t>
  </si>
  <si>
    <t>Principal Payment</t>
  </si>
  <si>
    <t>Interest</t>
  </si>
  <si>
    <t>Total Loan Repayment</t>
  </si>
  <si>
    <t>Loan Balance</t>
  </si>
  <si>
    <t>Initial Capital</t>
  </si>
  <si>
    <t>Adjusted Basis</t>
  </si>
  <si>
    <t>Monthly Loan Repayment</t>
  </si>
  <si>
    <t>Building Depreciation</t>
  </si>
  <si>
    <t>Capital Depreciation</t>
  </si>
  <si>
    <t>Building Value</t>
  </si>
  <si>
    <t xml:space="preserve">Annual depreciation </t>
  </si>
  <si>
    <t>Capital Expense</t>
  </si>
  <si>
    <t xml:space="preserve">                                      Rent Market Projection</t>
  </si>
  <si>
    <t xml:space="preserve">End of year Building Value </t>
  </si>
  <si>
    <t>Purchasing Cost</t>
  </si>
  <si>
    <t>Building Value when selling</t>
  </si>
  <si>
    <t>Investment Return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</si>
</sst>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.00"/>
    <numFmt numFmtId="167" formatCode="&quot;$&quot;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1"/>
      <color rgb="FF0000FF"/>
      <name val="Calibri"/>
      <scheme val="minor"/>
    </font>
    <font>
      <b/>
      <sz val="11"/>
      <color rgb="FF0000FF"/>
      <name val="Calibri"/>
    </font>
    <font>
      <b/>
      <sz val="11"/>
      <name val="Calibri"/>
      <family val="2"/>
      <scheme val="minor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b/>
      <sz val="11"/>
      <color rgb="FF0000FF"/>
      <name val="Calibri"/>
      <scheme val="minor"/>
    </font>
    <font>
      <sz val="11"/>
      <color theme="0" tint="-0.34998626667073579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65" fontId="2" fillId="0" borderId="0" xfId="1" applyNumberFormat="1" applyFont="1" applyFill="1"/>
    <xf numFmtId="165" fontId="2" fillId="0" borderId="0" xfId="0" applyNumberFormat="1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2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/>
    </xf>
    <xf numFmtId="43" fontId="8" fillId="0" borderId="0" xfId="1" applyNumberFormat="1" applyFont="1" applyFill="1"/>
    <xf numFmtId="43" fontId="8" fillId="0" borderId="0" xfId="0" applyNumberFormat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/>
    <xf numFmtId="43" fontId="7" fillId="0" borderId="0" xfId="1" applyNumberFormat="1" applyFont="1" applyFill="1"/>
    <xf numFmtId="0" fontId="3" fillId="2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9" fontId="2" fillId="0" borderId="0" xfId="0" applyNumberFormat="1" applyFont="1" applyFill="1" applyAlignment="1">
      <alignment horizontal="right"/>
    </xf>
    <xf numFmtId="10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3" fontId="8" fillId="0" borderId="0" xfId="1" applyNumberFormat="1" applyFont="1" applyFill="1" applyAlignment="1">
      <alignment horizontal="right"/>
    </xf>
    <xf numFmtId="43" fontId="8" fillId="0" borderId="0" xfId="0" applyNumberFormat="1" applyFont="1" applyFill="1" applyAlignment="1">
      <alignment horizontal="right"/>
    </xf>
    <xf numFmtId="43" fontId="7" fillId="0" borderId="0" xfId="0" applyNumberFormat="1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165" fontId="2" fillId="0" borderId="0" xfId="1" applyNumberFormat="1" applyFont="1" applyFill="1" applyAlignment="1">
      <alignment horizontal="right"/>
    </xf>
    <xf numFmtId="43" fontId="2" fillId="0" borderId="0" xfId="0" applyNumberFormat="1" applyFont="1" applyFill="1" applyAlignment="1">
      <alignment horizontal="right"/>
    </xf>
    <xf numFmtId="10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43" fontId="10" fillId="0" borderId="0" xfId="1" applyNumberFormat="1" applyFont="1" applyFill="1" applyAlignment="1">
      <alignment horizontal="right"/>
    </xf>
    <xf numFmtId="43" fontId="12" fillId="0" borderId="0" xfId="1" applyNumberFormat="1" applyFont="1" applyFill="1" applyAlignment="1">
      <alignment horizontal="right"/>
    </xf>
    <xf numFmtId="44" fontId="0" fillId="0" borderId="0" xfId="2" applyFont="1"/>
    <xf numFmtId="44" fontId="0" fillId="0" borderId="0" xfId="0" applyNumberFormat="1"/>
    <xf numFmtId="10" fontId="0" fillId="0" borderId="0" xfId="3" applyNumberFormat="1" applyFont="1"/>
    <xf numFmtId="0" fontId="8" fillId="0" borderId="0" xfId="0" applyFont="1"/>
    <xf numFmtId="0" fontId="13" fillId="0" borderId="0" xfId="0" applyFont="1"/>
    <xf numFmtId="44" fontId="9" fillId="0" borderId="0" xfId="0" applyNumberFormat="1" applyFont="1"/>
    <xf numFmtId="0" fontId="14" fillId="0" borderId="0" xfId="0" applyFont="1" applyBorder="1"/>
    <xf numFmtId="0" fontId="0" fillId="0" borderId="0" xfId="0" applyBorder="1"/>
    <xf numFmtId="0" fontId="0" fillId="0" borderId="1" xfId="0" applyBorder="1"/>
    <xf numFmtId="0" fontId="15" fillId="0" borderId="0" xfId="0" applyFont="1" applyBorder="1"/>
    <xf numFmtId="0" fontId="14" fillId="0" borderId="0" xfId="0" applyFont="1" applyFill="1" applyBorder="1"/>
    <xf numFmtId="0" fontId="0" fillId="0" borderId="1" xfId="0" applyFont="1" applyBorder="1"/>
    <xf numFmtId="0" fontId="16" fillId="0" borderId="1" xfId="0" applyFont="1" applyBorder="1"/>
    <xf numFmtId="43" fontId="0" fillId="0" borderId="1" xfId="0" applyNumberFormat="1" applyBorder="1"/>
    <xf numFmtId="43" fontId="16" fillId="0" borderId="1" xfId="0" applyNumberFormat="1" applyFont="1" applyBorder="1"/>
    <xf numFmtId="0" fontId="17" fillId="0" borderId="1" xfId="0" applyFont="1" applyBorder="1"/>
    <xf numFmtId="0" fontId="16" fillId="0" borderId="0" xfId="0" applyFont="1" applyBorder="1"/>
    <xf numFmtId="4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44" fontId="0" fillId="0" borderId="0" xfId="0" applyNumberFormat="1" applyFont="1"/>
    <xf numFmtId="0" fontId="9" fillId="0" borderId="0" xfId="0" applyFont="1" applyBorder="1"/>
    <xf numFmtId="43" fontId="9" fillId="0" borderId="0" xfId="0" applyNumberFormat="1" applyFont="1" applyBorder="1"/>
    <xf numFmtId="44" fontId="0" fillId="0" borderId="0" xfId="0" applyNumberFormat="1" applyBorder="1"/>
    <xf numFmtId="44" fontId="0" fillId="0" borderId="0" xfId="2" applyFont="1" applyBorder="1"/>
    <xf numFmtId="0" fontId="11" fillId="0" borderId="0" xfId="0" applyFont="1" applyBorder="1"/>
    <xf numFmtId="0" fontId="18" fillId="0" borderId="0" xfId="0" applyFont="1"/>
    <xf numFmtId="43" fontId="19" fillId="0" borderId="1" xfId="0" applyNumberFormat="1" applyFont="1" applyBorder="1"/>
    <xf numFmtId="44" fontId="18" fillId="0" borderId="1" xfId="0" applyNumberFormat="1" applyFont="1" applyBorder="1"/>
    <xf numFmtId="0" fontId="18" fillId="0" borderId="0" xfId="0" applyFont="1" applyBorder="1"/>
    <xf numFmtId="44" fontId="13" fillId="0" borderId="0" xfId="0" applyNumberFormat="1" applyFont="1"/>
    <xf numFmtId="8" fontId="17" fillId="0" borderId="0" xfId="0" applyNumberFormat="1" applyFont="1"/>
    <xf numFmtId="0" fontId="17" fillId="0" borderId="0" xfId="0" applyFont="1"/>
    <xf numFmtId="0" fontId="13" fillId="0" borderId="0" xfId="0" applyFont="1" applyAlignment="1">
      <alignment horizontal="center"/>
    </xf>
    <xf numFmtId="44" fontId="17" fillId="0" borderId="0" xfId="0" applyNumberFormat="1" applyFont="1"/>
    <xf numFmtId="43" fontId="17" fillId="0" borderId="1" xfId="0" applyNumberFormat="1" applyFont="1" applyBorder="1"/>
    <xf numFmtId="0" fontId="17" fillId="0" borderId="0" xfId="0" applyFont="1" applyBorder="1"/>
    <xf numFmtId="43" fontId="16" fillId="0" borderId="1" xfId="2" applyNumberFormat="1" applyFont="1" applyBorder="1"/>
    <xf numFmtId="44" fontId="16" fillId="0" borderId="0" xfId="0" applyNumberFormat="1" applyFont="1" applyBorder="1" applyAlignment="1"/>
    <xf numFmtId="44" fontId="17" fillId="0" borderId="0" xfId="0" applyNumberFormat="1" applyFont="1" applyBorder="1"/>
    <xf numFmtId="0" fontId="15" fillId="0" borderId="0" xfId="0" applyFont="1" applyBorder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Border="1"/>
    <xf numFmtId="0" fontId="0" fillId="0" borderId="1" xfId="0" applyFill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8" workbookViewId="0">
      <selection activeCell="B51" sqref="B51"/>
    </sheetView>
  </sheetViews>
  <sheetFormatPr defaultColWidth="8.85546875" defaultRowHeight="15" x14ac:dyDescent="0.25"/>
  <cols>
    <col min="1" max="1" width="48" bestFit="1" customWidth="1"/>
    <col min="2" max="2" width="31.42578125" customWidth="1"/>
    <col min="3" max="3" width="37.42578125" bestFit="1" customWidth="1"/>
  </cols>
  <sheetData>
    <row r="1" spans="1:4" x14ac:dyDescent="0.25">
      <c r="A1" s="1"/>
      <c r="B1" s="18"/>
      <c r="C1" s="18"/>
      <c r="D1" s="18"/>
    </row>
    <row r="2" spans="1:4" x14ac:dyDescent="0.25">
      <c r="A2" s="2" t="s">
        <v>42</v>
      </c>
      <c r="B2" s="18"/>
      <c r="C2" s="18"/>
      <c r="D2" s="18"/>
    </row>
    <row r="3" spans="1:4" x14ac:dyDescent="0.25">
      <c r="A3" s="2"/>
      <c r="B3" s="18"/>
      <c r="C3" s="18"/>
      <c r="D3" s="18"/>
    </row>
    <row r="4" spans="1:4" x14ac:dyDescent="0.25">
      <c r="A4" s="6" t="s">
        <v>38</v>
      </c>
      <c r="B4" s="18"/>
      <c r="C4" s="18"/>
      <c r="D4" s="18"/>
    </row>
    <row r="5" spans="1:4" x14ac:dyDescent="0.25">
      <c r="A5" s="1" t="s">
        <v>0</v>
      </c>
      <c r="B5" s="19">
        <v>135</v>
      </c>
      <c r="C5" s="18"/>
      <c r="D5" s="18"/>
    </row>
    <row r="6" spans="1:4" x14ac:dyDescent="0.25">
      <c r="A6" s="1" t="s">
        <v>1</v>
      </c>
      <c r="B6" s="20">
        <v>0.02</v>
      </c>
      <c r="C6" s="18"/>
      <c r="D6" s="18"/>
    </row>
    <row r="7" spans="1:4" x14ac:dyDescent="0.25">
      <c r="A7" s="1" t="s">
        <v>40</v>
      </c>
      <c r="B7" s="18">
        <v>60390</v>
      </c>
      <c r="C7" s="18"/>
      <c r="D7" s="18"/>
    </row>
    <row r="8" spans="1:4" x14ac:dyDescent="0.25">
      <c r="A8" s="1" t="s">
        <v>2</v>
      </c>
      <c r="B8" s="18">
        <v>3</v>
      </c>
      <c r="C8" s="18"/>
      <c r="D8" s="18"/>
    </row>
    <row r="9" spans="1:4" x14ac:dyDescent="0.25">
      <c r="A9" s="7" t="s">
        <v>41</v>
      </c>
      <c r="B9" s="19">
        <f>B7*B5</f>
        <v>8152650</v>
      </c>
      <c r="C9" s="18"/>
      <c r="D9" s="18"/>
    </row>
    <row r="10" spans="1:4" x14ac:dyDescent="0.25">
      <c r="A10" s="7" t="s">
        <v>39</v>
      </c>
      <c r="B10" s="19">
        <f>B9+(B6*B9)</f>
        <v>8315703</v>
      </c>
      <c r="C10" s="18"/>
      <c r="D10" s="18"/>
    </row>
    <row r="11" spans="1:4" x14ac:dyDescent="0.25">
      <c r="A11" s="1"/>
      <c r="B11" s="18"/>
      <c r="C11" s="18"/>
      <c r="D11" s="18"/>
    </row>
    <row r="12" spans="1:4" x14ac:dyDescent="0.25">
      <c r="A12" s="8" t="s">
        <v>43</v>
      </c>
      <c r="B12" s="18"/>
      <c r="C12" s="18"/>
      <c r="D12" s="18"/>
    </row>
    <row r="13" spans="1:4" x14ac:dyDescent="0.25">
      <c r="A13" s="3" t="s">
        <v>3</v>
      </c>
      <c r="B13" s="18"/>
      <c r="C13" s="18"/>
      <c r="D13" s="18"/>
    </row>
    <row r="14" spans="1:4" x14ac:dyDescent="0.25">
      <c r="A14" s="1" t="s">
        <v>4</v>
      </c>
      <c r="B14" s="18">
        <v>24156</v>
      </c>
      <c r="C14" s="18"/>
      <c r="D14" s="18"/>
    </row>
    <row r="15" spans="1:4" x14ac:dyDescent="0.25">
      <c r="A15" s="1" t="s">
        <v>5</v>
      </c>
      <c r="B15" s="19">
        <v>25</v>
      </c>
      <c r="C15" s="18"/>
      <c r="D15" s="18"/>
    </row>
    <row r="16" spans="1:4" x14ac:dyDescent="0.25">
      <c r="A16" s="1" t="s">
        <v>6</v>
      </c>
      <c r="B16" s="18">
        <v>2</v>
      </c>
      <c r="C16" s="18"/>
      <c r="D16" s="18"/>
    </row>
    <row r="17" spans="1:4" x14ac:dyDescent="0.25">
      <c r="A17" s="1"/>
      <c r="B17" s="18"/>
      <c r="C17" s="18"/>
      <c r="D17" s="18"/>
    </row>
    <row r="18" spans="1:4" x14ac:dyDescent="0.25">
      <c r="A18" s="3" t="s">
        <v>7</v>
      </c>
      <c r="B18" s="18"/>
      <c r="C18" s="18"/>
      <c r="D18" s="18"/>
    </row>
    <row r="19" spans="1:4" x14ac:dyDescent="0.25">
      <c r="A19" s="1" t="s">
        <v>4</v>
      </c>
      <c r="B19" s="18">
        <v>10266</v>
      </c>
      <c r="C19" s="18"/>
      <c r="D19" s="18"/>
    </row>
    <row r="20" spans="1:4" x14ac:dyDescent="0.25">
      <c r="A20" s="1" t="s">
        <v>5</v>
      </c>
      <c r="B20" s="19">
        <v>23.5</v>
      </c>
      <c r="C20" s="18"/>
      <c r="D20" s="18"/>
    </row>
    <row r="21" spans="1:4" x14ac:dyDescent="0.25">
      <c r="A21" s="1" t="s">
        <v>6</v>
      </c>
      <c r="B21" s="18">
        <v>4</v>
      </c>
      <c r="C21" s="18"/>
      <c r="D21" s="18"/>
    </row>
    <row r="22" spans="1:4" x14ac:dyDescent="0.25">
      <c r="A22" s="1" t="s">
        <v>8</v>
      </c>
      <c r="B22" s="21">
        <v>2.5000000000000001E-2</v>
      </c>
      <c r="C22" s="18"/>
      <c r="D22" s="18"/>
    </row>
    <row r="23" spans="1:4" x14ac:dyDescent="0.25">
      <c r="A23" s="1"/>
      <c r="B23" s="18"/>
      <c r="C23" s="18"/>
      <c r="D23" s="18"/>
    </row>
    <row r="24" spans="1:4" x14ac:dyDescent="0.25">
      <c r="A24" s="3" t="s">
        <v>9</v>
      </c>
      <c r="B24" s="18"/>
      <c r="C24" s="18"/>
      <c r="D24" s="18"/>
    </row>
    <row r="25" spans="1:4" x14ac:dyDescent="0.25">
      <c r="A25" s="1" t="s">
        <v>4</v>
      </c>
      <c r="B25" s="18">
        <f>B7-B14-B19</f>
        <v>25968</v>
      </c>
      <c r="C25" s="18"/>
      <c r="D25" s="18"/>
    </row>
    <row r="26" spans="1:4" x14ac:dyDescent="0.25">
      <c r="A26" s="1" t="s">
        <v>5</v>
      </c>
      <c r="B26" s="19">
        <v>22</v>
      </c>
      <c r="C26" s="18"/>
      <c r="D26" s="18"/>
    </row>
    <row r="27" spans="1:4" x14ac:dyDescent="0.25">
      <c r="A27" s="1" t="s">
        <v>6</v>
      </c>
      <c r="B27" s="18">
        <v>6</v>
      </c>
      <c r="C27" s="18"/>
      <c r="D27" s="18"/>
    </row>
    <row r="28" spans="1:4" x14ac:dyDescent="0.25">
      <c r="A28" s="1" t="s">
        <v>10</v>
      </c>
      <c r="B28" s="18">
        <v>2</v>
      </c>
      <c r="C28" s="18" t="s">
        <v>11</v>
      </c>
      <c r="D28" s="18"/>
    </row>
    <row r="29" spans="1:4" x14ac:dyDescent="0.25">
      <c r="A29" s="1"/>
      <c r="B29" s="18"/>
      <c r="C29" s="18"/>
      <c r="D29" s="18"/>
    </row>
    <row r="30" spans="1:4" x14ac:dyDescent="0.25">
      <c r="A30" s="8" t="s">
        <v>56</v>
      </c>
      <c r="B30" s="18"/>
      <c r="C30" s="18"/>
      <c r="D30" s="18"/>
    </row>
    <row r="31" spans="1:4" x14ac:dyDescent="0.25">
      <c r="A31" s="1" t="s">
        <v>47</v>
      </c>
      <c r="B31" s="19">
        <v>8.5</v>
      </c>
      <c r="C31" s="24" t="s">
        <v>48</v>
      </c>
      <c r="D31" s="18"/>
    </row>
    <row r="32" spans="1:4" x14ac:dyDescent="0.25">
      <c r="A32" s="1" t="s">
        <v>55</v>
      </c>
      <c r="B32" s="22">
        <v>150000</v>
      </c>
      <c r="C32" s="18" t="s">
        <v>54</v>
      </c>
      <c r="D32" s="18"/>
    </row>
    <row r="33" spans="1:4" x14ac:dyDescent="0.25">
      <c r="A33" s="1"/>
      <c r="B33" s="20"/>
      <c r="C33" s="18"/>
      <c r="D33" s="18"/>
    </row>
    <row r="34" spans="1:4" x14ac:dyDescent="0.25">
      <c r="A34" s="8" t="s">
        <v>45</v>
      </c>
      <c r="B34" s="18"/>
      <c r="C34" s="18"/>
      <c r="D34" s="18"/>
    </row>
    <row r="35" spans="1:4" x14ac:dyDescent="0.25">
      <c r="A35" s="1" t="s">
        <v>44</v>
      </c>
      <c r="B35" s="20">
        <v>0.05</v>
      </c>
      <c r="C35" s="18" t="s">
        <v>12</v>
      </c>
      <c r="D35" s="18"/>
    </row>
    <row r="36" spans="1:4" x14ac:dyDescent="0.25">
      <c r="A36" s="1" t="s">
        <v>13</v>
      </c>
      <c r="B36" s="20">
        <v>0.1</v>
      </c>
      <c r="C36" s="18" t="s">
        <v>12</v>
      </c>
      <c r="D36" s="18"/>
    </row>
    <row r="37" spans="1:4" x14ac:dyDescent="0.25">
      <c r="A37" s="8"/>
      <c r="B37" s="18"/>
      <c r="C37" s="18"/>
      <c r="D37" s="18"/>
    </row>
    <row r="38" spans="1:4" x14ac:dyDescent="0.25">
      <c r="A38" s="1" t="s">
        <v>51</v>
      </c>
      <c r="B38" s="19">
        <v>19.75</v>
      </c>
      <c r="C38" s="18"/>
      <c r="D38" s="18"/>
    </row>
    <row r="39" spans="1:4" x14ac:dyDescent="0.25">
      <c r="A39" s="1" t="s">
        <v>50</v>
      </c>
      <c r="B39" s="23">
        <v>3.5000000000000003E-2</v>
      </c>
      <c r="C39" s="18" t="s">
        <v>14</v>
      </c>
      <c r="D39" s="18"/>
    </row>
    <row r="40" spans="1:4" x14ac:dyDescent="0.25">
      <c r="A40" s="1" t="s">
        <v>49</v>
      </c>
      <c r="B40" s="23">
        <v>2.5000000000000001E-2</v>
      </c>
      <c r="C40" s="18" t="s">
        <v>46</v>
      </c>
      <c r="D40" s="18"/>
    </row>
    <row r="41" spans="1:4" x14ac:dyDescent="0.25">
      <c r="A41" s="1"/>
      <c r="B41" s="18"/>
      <c r="C41" s="18"/>
      <c r="D41" s="18"/>
    </row>
    <row r="42" spans="1:4" x14ac:dyDescent="0.25">
      <c r="A42" s="1" t="s">
        <v>52</v>
      </c>
      <c r="B42" s="23">
        <v>2.5000000000000001E-2</v>
      </c>
      <c r="C42" s="18" t="s">
        <v>15</v>
      </c>
      <c r="D42" s="18"/>
    </row>
    <row r="43" spans="1:4" x14ac:dyDescent="0.25">
      <c r="A43" s="1" t="s">
        <v>53</v>
      </c>
      <c r="B43" s="20">
        <v>0.25</v>
      </c>
      <c r="C43" s="18" t="s">
        <v>16</v>
      </c>
      <c r="D43" s="18"/>
    </row>
    <row r="44" spans="1:4" x14ac:dyDescent="0.25">
      <c r="A44" s="1"/>
      <c r="B44" s="18"/>
      <c r="C44" s="18"/>
      <c r="D44" s="18"/>
    </row>
    <row r="45" spans="1:4" x14ac:dyDescent="0.25">
      <c r="A45" s="1" t="s">
        <v>17</v>
      </c>
      <c r="B45" s="18">
        <v>450000</v>
      </c>
      <c r="C45" s="18" t="s">
        <v>18</v>
      </c>
      <c r="D45" s="18"/>
    </row>
    <row r="46" spans="1:4" x14ac:dyDescent="0.25">
      <c r="A46" s="1"/>
      <c r="B46" s="18"/>
      <c r="C46" s="18"/>
      <c r="D46" s="18"/>
    </row>
    <row r="47" spans="1:4" x14ac:dyDescent="0.25">
      <c r="A47" s="1" t="s">
        <v>19</v>
      </c>
      <c r="B47" s="18">
        <v>39</v>
      </c>
      <c r="C47" s="18" t="s">
        <v>20</v>
      </c>
      <c r="D47" s="18"/>
    </row>
    <row r="48" spans="1:4" x14ac:dyDescent="0.25">
      <c r="A48" s="1" t="s">
        <v>21</v>
      </c>
      <c r="B48" s="20">
        <v>0.8</v>
      </c>
      <c r="C48" s="18" t="s">
        <v>22</v>
      </c>
      <c r="D48" s="18"/>
    </row>
    <row r="49" spans="1:4" x14ac:dyDescent="0.25">
      <c r="A49" s="1"/>
      <c r="B49" s="18"/>
      <c r="C49" s="18"/>
      <c r="D49" s="18"/>
    </row>
    <row r="50" spans="1:4" x14ac:dyDescent="0.25">
      <c r="A50" s="1" t="s">
        <v>74</v>
      </c>
      <c r="B50" s="20">
        <v>0.75</v>
      </c>
      <c r="C50" s="18"/>
      <c r="D50" s="18"/>
    </row>
    <row r="51" spans="1:4" x14ac:dyDescent="0.25">
      <c r="A51" s="1" t="s">
        <v>23</v>
      </c>
      <c r="B51" s="21">
        <v>8.5000000000000006E-2</v>
      </c>
      <c r="C51" s="18"/>
      <c r="D51" s="18"/>
    </row>
    <row r="52" spans="1:4" x14ac:dyDescent="0.25">
      <c r="A52" s="1" t="s">
        <v>24</v>
      </c>
      <c r="B52" s="20">
        <v>0.1</v>
      </c>
      <c r="C52" s="18"/>
      <c r="D52" s="18"/>
    </row>
    <row r="53" spans="1:4" x14ac:dyDescent="0.25">
      <c r="A53" s="1" t="s">
        <v>25</v>
      </c>
      <c r="B53" s="20">
        <v>0.02</v>
      </c>
      <c r="C53" s="18" t="s">
        <v>26</v>
      </c>
      <c r="D53" s="18"/>
    </row>
    <row r="54" spans="1:4" x14ac:dyDescent="0.25">
      <c r="A54" s="1"/>
      <c r="B54" s="18"/>
      <c r="C54" s="18"/>
      <c r="D54" s="18"/>
    </row>
    <row r="55" spans="1:4" x14ac:dyDescent="0.25">
      <c r="A55" s="1" t="s">
        <v>27</v>
      </c>
      <c r="B55" s="18">
        <v>5</v>
      </c>
      <c r="C55" s="18" t="s">
        <v>28</v>
      </c>
      <c r="D55" s="18"/>
    </row>
    <row r="56" spans="1:4" x14ac:dyDescent="0.25">
      <c r="A56" s="1"/>
      <c r="B56" s="18"/>
      <c r="C56" s="18"/>
      <c r="D56" s="18"/>
    </row>
    <row r="57" spans="1:4" x14ac:dyDescent="0.25">
      <c r="A57" s="1" t="s">
        <v>29</v>
      </c>
      <c r="B57" s="20">
        <v>0.35</v>
      </c>
      <c r="C57" s="18"/>
      <c r="D57" s="18"/>
    </row>
    <row r="58" spans="1:4" x14ac:dyDescent="0.25">
      <c r="A58" s="1" t="s">
        <v>30</v>
      </c>
      <c r="B58" s="20">
        <v>0.17</v>
      </c>
      <c r="C58" s="18"/>
      <c r="D58" s="18"/>
    </row>
    <row r="59" spans="1:4" x14ac:dyDescent="0.25">
      <c r="A59" s="1"/>
      <c r="B59" s="18"/>
      <c r="C59" s="18"/>
      <c r="D59" s="18"/>
    </row>
    <row r="60" spans="1:4" x14ac:dyDescent="0.25">
      <c r="A60" s="1" t="s">
        <v>31</v>
      </c>
      <c r="B60" s="18"/>
      <c r="C60" s="18"/>
      <c r="D60" s="18"/>
    </row>
    <row r="61" spans="1:4" x14ac:dyDescent="0.25">
      <c r="A61" s="1"/>
      <c r="B61" s="18"/>
      <c r="C61" s="18"/>
      <c r="D61" s="18"/>
    </row>
    <row r="62" spans="1:4" x14ac:dyDescent="0.25">
      <c r="A62" s="8"/>
      <c r="B62" s="18"/>
      <c r="C62" s="18"/>
      <c r="D62" s="18"/>
    </row>
    <row r="63" spans="1:4" x14ac:dyDescent="0.25">
      <c r="B63" s="24"/>
      <c r="C63" s="24"/>
      <c r="D63" s="24"/>
    </row>
    <row r="64" spans="1:4" x14ac:dyDescent="0.25">
      <c r="A64" s="1"/>
      <c r="B64" s="18"/>
      <c r="C64" s="18"/>
      <c r="D64" s="18"/>
    </row>
    <row r="65" spans="1:4" x14ac:dyDescent="0.25">
      <c r="A65" s="1"/>
      <c r="B65" s="18"/>
      <c r="C65" s="18"/>
      <c r="D65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23" sqref="C23"/>
    </sheetView>
  </sheetViews>
  <sheetFormatPr defaultColWidth="8.85546875" defaultRowHeight="15" x14ac:dyDescent="0.25"/>
  <cols>
    <col min="1" max="1" width="27.140625" customWidth="1"/>
    <col min="2" max="2" width="27.42578125" style="39" customWidth="1"/>
  </cols>
  <sheetData>
    <row r="1" spans="1:2" x14ac:dyDescent="0.25">
      <c r="A1" s="34" t="s">
        <v>125</v>
      </c>
    </row>
    <row r="2" spans="1:2" x14ac:dyDescent="0.25">
      <c r="A2" t="s">
        <v>70</v>
      </c>
      <c r="B2" s="39" t="s">
        <v>73</v>
      </c>
    </row>
    <row r="3" spans="1:2" x14ac:dyDescent="0.25">
      <c r="A3">
        <v>0</v>
      </c>
      <c r="B3" s="39">
        <v>19.75</v>
      </c>
    </row>
    <row r="4" spans="1:2" x14ac:dyDescent="0.25">
      <c r="A4">
        <v>1</v>
      </c>
      <c r="B4" s="39">
        <f>96.5%*B3</f>
        <v>19.05875</v>
      </c>
    </row>
    <row r="5" spans="1:2" x14ac:dyDescent="0.25">
      <c r="A5">
        <v>2</v>
      </c>
      <c r="B5" s="39">
        <f>96.5%*B4</f>
        <v>18.391693749999998</v>
      </c>
    </row>
    <row r="6" spans="1:2" x14ac:dyDescent="0.25">
      <c r="A6">
        <v>3</v>
      </c>
      <c r="B6" s="39">
        <f>96.5%*B5</f>
        <v>17.747984468749998</v>
      </c>
    </row>
    <row r="7" spans="1:2" x14ac:dyDescent="0.25">
      <c r="A7">
        <v>4</v>
      </c>
      <c r="B7" s="39">
        <f>102.5%*B6</f>
        <v>18.191684080468747</v>
      </c>
    </row>
    <row r="8" spans="1:2" x14ac:dyDescent="0.25">
      <c r="A8">
        <v>5</v>
      </c>
      <c r="B8" s="39">
        <f>102.5%*B7</f>
        <v>18.646476182480463</v>
      </c>
    </row>
    <row r="9" spans="1:2" x14ac:dyDescent="0.25">
      <c r="A9">
        <v>6</v>
      </c>
      <c r="B9" s="39">
        <f>102.5%*B8</f>
        <v>19.112638087042473</v>
      </c>
    </row>
    <row r="10" spans="1:2" x14ac:dyDescent="0.25">
      <c r="A10">
        <v>7</v>
      </c>
      <c r="B10" s="39">
        <f>102.5%*B9</f>
        <v>19.590454039218532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opLeftCell="A84" workbookViewId="0">
      <selection activeCell="A5" sqref="A5"/>
    </sheetView>
  </sheetViews>
  <sheetFormatPr defaultColWidth="8.85546875" defaultRowHeight="15" x14ac:dyDescent="0.25"/>
  <cols>
    <col min="1" max="1" width="39.28515625" customWidth="1"/>
    <col min="2" max="2" width="26.28515625" bestFit="1" customWidth="1"/>
    <col min="3" max="3" width="25" bestFit="1" customWidth="1"/>
    <col min="4" max="4" width="27.5703125" customWidth="1"/>
    <col min="5" max="5" width="26" customWidth="1"/>
    <col min="6" max="6" width="23.7109375" customWidth="1"/>
  </cols>
  <sheetData>
    <row r="1" spans="1:5" x14ac:dyDescent="0.25">
      <c r="A1" s="34" t="s">
        <v>75</v>
      </c>
    </row>
    <row r="3" spans="1:5" x14ac:dyDescent="0.25">
      <c r="A3" t="s">
        <v>76</v>
      </c>
      <c r="B3" s="39">
        <f>Info!B7*Info!B5</f>
        <v>8152650</v>
      </c>
    </row>
    <row r="4" spans="1:5" x14ac:dyDescent="0.25">
      <c r="A4" t="s">
        <v>127</v>
      </c>
      <c r="B4" s="39">
        <f>2%*B3</f>
        <v>163053</v>
      </c>
    </row>
    <row r="5" spans="1:5" x14ac:dyDescent="0.25">
      <c r="A5" t="s">
        <v>77</v>
      </c>
      <c r="B5" s="40">
        <f>B3*Info!B50</f>
        <v>6114487.5</v>
      </c>
      <c r="C5" s="40"/>
    </row>
    <row r="6" spans="1:5" x14ac:dyDescent="0.25">
      <c r="A6" t="s">
        <v>117</v>
      </c>
      <c r="B6" s="40">
        <f>B3-B5</f>
        <v>2038162.5</v>
      </c>
    </row>
    <row r="7" spans="1:5" x14ac:dyDescent="0.25">
      <c r="A7" t="s">
        <v>71</v>
      </c>
      <c r="B7" s="33">
        <v>7.4999999999999997E-2</v>
      </c>
    </row>
    <row r="8" spans="1:5" x14ac:dyDescent="0.25">
      <c r="A8" t="s">
        <v>78</v>
      </c>
      <c r="B8" s="41">
        <f>$B$7/12</f>
        <v>6.2499999999999995E-3</v>
      </c>
    </row>
    <row r="9" spans="1:5" x14ac:dyDescent="0.25">
      <c r="A9" t="s">
        <v>79</v>
      </c>
      <c r="B9">
        <f>((B8*(1+B8)^360)/(((1+B8)^360)-1))</f>
        <v>6.9921450855277749E-3</v>
      </c>
    </row>
    <row r="10" spans="1:5" s="71" customFormat="1" x14ac:dyDescent="0.25">
      <c r="A10" s="43" t="s">
        <v>119</v>
      </c>
      <c r="B10" s="69">
        <f>B9*B5</f>
        <v>42753.383723646009</v>
      </c>
      <c r="C10" s="70"/>
      <c r="D10" s="70"/>
    </row>
    <row r="11" spans="1:5" x14ac:dyDescent="0.25">
      <c r="A11" s="34" t="s">
        <v>118</v>
      </c>
      <c r="B11" s="44">
        <f>B6+(B10*5)</f>
        <v>2251929.4186182301</v>
      </c>
    </row>
    <row r="12" spans="1:5" x14ac:dyDescent="0.25">
      <c r="A12" s="34"/>
      <c r="B12" s="44"/>
    </row>
    <row r="13" spans="1:5" x14ac:dyDescent="0.25">
      <c r="A13" s="34"/>
      <c r="B13" s="44"/>
    </row>
    <row r="14" spans="1:5" x14ac:dyDescent="0.25">
      <c r="A14" s="35" t="s">
        <v>112</v>
      </c>
      <c r="B14" s="44"/>
    </row>
    <row r="15" spans="1:5" x14ac:dyDescent="0.25">
      <c r="A15" s="34"/>
      <c r="B15" s="44"/>
    </row>
    <row r="16" spans="1:5" s="57" customFormat="1" x14ac:dyDescent="0.25">
      <c r="A16" s="35" t="s">
        <v>70</v>
      </c>
      <c r="B16" s="56" t="s">
        <v>113</v>
      </c>
      <c r="C16" s="72" t="s">
        <v>114</v>
      </c>
      <c r="D16" s="35" t="s">
        <v>115</v>
      </c>
      <c r="E16" s="35" t="s">
        <v>116</v>
      </c>
    </row>
    <row r="17" spans="1:7" x14ac:dyDescent="0.25">
      <c r="A17" s="58">
        <v>0</v>
      </c>
      <c r="B17" s="59">
        <f t="shared" ref="B17" si="0">D17-C17</f>
        <v>4537.8368486460095</v>
      </c>
      <c r="C17" s="73">
        <f>$B$8*B5</f>
        <v>38215.546875</v>
      </c>
      <c r="D17" s="40">
        <f>$B$10</f>
        <v>42753.383723646009</v>
      </c>
      <c r="E17" s="40">
        <f>B5-B17</f>
        <v>6109949.6631513536</v>
      </c>
      <c r="G17" s="36"/>
    </row>
    <row r="18" spans="1:7" x14ac:dyDescent="0.25">
      <c r="A18" s="58"/>
      <c r="B18" s="59">
        <f>D18-C18</f>
        <v>4566.1983289500495</v>
      </c>
      <c r="C18" s="73">
        <f>$B$8*E17</f>
        <v>38187.18539469596</v>
      </c>
      <c r="D18" s="40">
        <f t="shared" ref="D18:D81" si="1">$B$10</f>
        <v>42753.383723646009</v>
      </c>
      <c r="E18" s="40">
        <f>E17-D18</f>
        <v>6067196.2794277072</v>
      </c>
      <c r="G18" s="36"/>
    </row>
    <row r="19" spans="1:7" x14ac:dyDescent="0.25">
      <c r="A19" s="58"/>
      <c r="B19" s="59">
        <f t="shared" ref="B19:B82" si="2">D19-C19</f>
        <v>4833.4069772228395</v>
      </c>
      <c r="C19" s="73">
        <f t="shared" ref="C19:C82" si="3">$B$8*E18</f>
        <v>37919.97674642317</v>
      </c>
      <c r="D19" s="40">
        <f t="shared" si="1"/>
        <v>42753.383723646009</v>
      </c>
      <c r="E19" s="40">
        <f t="shared" ref="E19:E82" si="4">E18-D19</f>
        <v>6024442.8957040608</v>
      </c>
      <c r="G19" s="36"/>
    </row>
    <row r="20" spans="1:7" x14ac:dyDescent="0.25">
      <c r="A20" s="58"/>
      <c r="B20" s="59">
        <f t="shared" si="2"/>
        <v>5100.6156254956295</v>
      </c>
      <c r="C20" s="73">
        <f t="shared" si="3"/>
        <v>37652.76809815038</v>
      </c>
      <c r="D20" s="40">
        <f t="shared" si="1"/>
        <v>42753.383723646009</v>
      </c>
      <c r="E20" s="40">
        <f t="shared" si="4"/>
        <v>5981689.5119804144</v>
      </c>
      <c r="G20" s="36"/>
    </row>
    <row r="21" spans="1:7" x14ac:dyDescent="0.25">
      <c r="A21" s="58"/>
      <c r="B21" s="59">
        <f t="shared" si="2"/>
        <v>5367.8242737684195</v>
      </c>
      <c r="C21" s="73">
        <f t="shared" si="3"/>
        <v>37385.55944987759</v>
      </c>
      <c r="D21" s="40">
        <f t="shared" si="1"/>
        <v>42753.383723646009</v>
      </c>
      <c r="E21" s="40">
        <f t="shared" si="4"/>
        <v>5938936.128256768</v>
      </c>
      <c r="G21" s="36"/>
    </row>
    <row r="22" spans="1:7" x14ac:dyDescent="0.25">
      <c r="A22" s="58"/>
      <c r="B22" s="59">
        <f t="shared" si="2"/>
        <v>5635.0329220412095</v>
      </c>
      <c r="C22" s="73">
        <f t="shared" si="3"/>
        <v>37118.3508016048</v>
      </c>
      <c r="D22" s="40">
        <f t="shared" si="1"/>
        <v>42753.383723646009</v>
      </c>
      <c r="E22" s="40">
        <f t="shared" si="4"/>
        <v>5896182.7445331216</v>
      </c>
      <c r="G22" s="36"/>
    </row>
    <row r="23" spans="1:7" x14ac:dyDescent="0.25">
      <c r="A23" s="58"/>
      <c r="B23" s="59">
        <f t="shared" si="2"/>
        <v>5902.2415703139995</v>
      </c>
      <c r="C23" s="73">
        <f t="shared" si="3"/>
        <v>36851.14215333201</v>
      </c>
      <c r="D23" s="40">
        <f t="shared" si="1"/>
        <v>42753.383723646009</v>
      </c>
      <c r="E23" s="40">
        <f t="shared" si="4"/>
        <v>5853429.3608094752</v>
      </c>
      <c r="G23" s="36"/>
    </row>
    <row r="24" spans="1:7" x14ac:dyDescent="0.25">
      <c r="A24" s="58"/>
      <c r="B24" s="59">
        <f t="shared" si="2"/>
        <v>6169.4502185867896</v>
      </c>
      <c r="C24" s="73">
        <f t="shared" si="3"/>
        <v>36583.93350505922</v>
      </c>
      <c r="D24" s="40">
        <f t="shared" si="1"/>
        <v>42753.383723646009</v>
      </c>
      <c r="E24" s="40">
        <f t="shared" si="4"/>
        <v>5810675.9770858288</v>
      </c>
      <c r="G24" s="36"/>
    </row>
    <row r="25" spans="1:7" x14ac:dyDescent="0.25">
      <c r="A25" s="58"/>
      <c r="B25" s="59">
        <f t="shared" si="2"/>
        <v>6436.6588668595796</v>
      </c>
      <c r="C25" s="73">
        <f t="shared" si="3"/>
        <v>36316.72485678643</v>
      </c>
      <c r="D25" s="40">
        <f t="shared" si="1"/>
        <v>42753.383723646009</v>
      </c>
      <c r="E25" s="40">
        <f t="shared" si="4"/>
        <v>5767922.5933621824</v>
      </c>
      <c r="G25" s="36"/>
    </row>
    <row r="26" spans="1:7" x14ac:dyDescent="0.25">
      <c r="A26" s="58"/>
      <c r="B26" s="59">
        <f t="shared" si="2"/>
        <v>6703.8675151323696</v>
      </c>
      <c r="C26" s="73">
        <f t="shared" si="3"/>
        <v>36049.51620851364</v>
      </c>
      <c r="D26" s="40">
        <f t="shared" si="1"/>
        <v>42753.383723646009</v>
      </c>
      <c r="E26" s="40">
        <f t="shared" si="4"/>
        <v>5725169.209638536</v>
      </c>
      <c r="G26" s="36"/>
    </row>
    <row r="27" spans="1:7" x14ac:dyDescent="0.25">
      <c r="A27" s="58"/>
      <c r="B27" s="59">
        <f t="shared" si="2"/>
        <v>6971.0761634051596</v>
      </c>
      <c r="C27" s="73">
        <f t="shared" si="3"/>
        <v>35782.30756024085</v>
      </c>
      <c r="D27" s="40">
        <f t="shared" si="1"/>
        <v>42753.383723646009</v>
      </c>
      <c r="E27" s="40">
        <f t="shared" si="4"/>
        <v>5682415.8259148896</v>
      </c>
      <c r="G27" s="36"/>
    </row>
    <row r="28" spans="1:7" x14ac:dyDescent="0.25">
      <c r="A28" s="58"/>
      <c r="B28" s="59">
        <f t="shared" si="2"/>
        <v>7238.2848116779496</v>
      </c>
      <c r="C28" s="73">
        <f t="shared" si="3"/>
        <v>35515.09891196806</v>
      </c>
      <c r="D28" s="40">
        <f t="shared" si="1"/>
        <v>42753.383723646009</v>
      </c>
      <c r="E28" s="40">
        <f t="shared" si="4"/>
        <v>5639662.4421912432</v>
      </c>
      <c r="G28" s="36"/>
    </row>
    <row r="29" spans="1:7" x14ac:dyDescent="0.25">
      <c r="A29" s="58">
        <v>1</v>
      </c>
      <c r="B29" s="59">
        <f t="shared" si="2"/>
        <v>7505.4934599507396</v>
      </c>
      <c r="C29" s="73">
        <f t="shared" si="3"/>
        <v>35247.89026369527</v>
      </c>
      <c r="D29" s="40">
        <f t="shared" si="1"/>
        <v>42753.383723646009</v>
      </c>
      <c r="E29" s="40">
        <f t="shared" si="4"/>
        <v>5596909.0584675968</v>
      </c>
      <c r="G29" s="36"/>
    </row>
    <row r="30" spans="1:7" x14ac:dyDescent="0.25">
      <c r="A30" s="58"/>
      <c r="B30" s="59">
        <f t="shared" si="2"/>
        <v>7772.7021082235296</v>
      </c>
      <c r="C30" s="73">
        <f>$B$8*E29</f>
        <v>34980.68161542248</v>
      </c>
      <c r="D30" s="40">
        <f t="shared" si="1"/>
        <v>42753.383723646009</v>
      </c>
      <c r="E30" s="40">
        <f>E29-D30</f>
        <v>5554155.6747439504</v>
      </c>
    </row>
    <row r="31" spans="1:7" x14ac:dyDescent="0.25">
      <c r="A31" s="58"/>
      <c r="B31" s="59">
        <f t="shared" si="2"/>
        <v>8039.9107564963197</v>
      </c>
      <c r="C31" s="73">
        <f t="shared" si="3"/>
        <v>34713.47296714969</v>
      </c>
      <c r="D31" s="40">
        <f t="shared" si="1"/>
        <v>42753.383723646009</v>
      </c>
      <c r="E31" s="40">
        <f t="shared" si="4"/>
        <v>5511402.291020304</v>
      </c>
    </row>
    <row r="32" spans="1:7" x14ac:dyDescent="0.25">
      <c r="A32" s="58"/>
      <c r="B32" s="59">
        <f t="shared" si="2"/>
        <v>8307.1194047691097</v>
      </c>
      <c r="C32" s="73">
        <f t="shared" si="3"/>
        <v>34446.2643188769</v>
      </c>
      <c r="D32" s="40">
        <f t="shared" si="1"/>
        <v>42753.383723646009</v>
      </c>
      <c r="E32" s="40">
        <f t="shared" si="4"/>
        <v>5468648.9072966576</v>
      </c>
    </row>
    <row r="33" spans="1:5" x14ac:dyDescent="0.25">
      <c r="A33" s="58"/>
      <c r="B33" s="59">
        <f t="shared" si="2"/>
        <v>8574.3280530418997</v>
      </c>
      <c r="C33" s="73">
        <f t="shared" si="3"/>
        <v>34179.05567060411</v>
      </c>
      <c r="D33" s="40">
        <f t="shared" si="1"/>
        <v>42753.383723646009</v>
      </c>
      <c r="E33" s="40">
        <f t="shared" si="4"/>
        <v>5425895.5235730112</v>
      </c>
    </row>
    <row r="34" spans="1:5" x14ac:dyDescent="0.25">
      <c r="A34" s="58"/>
      <c r="B34" s="59">
        <f t="shared" si="2"/>
        <v>8841.5367013146897</v>
      </c>
      <c r="C34" s="73">
        <f t="shared" si="3"/>
        <v>33911.84702233132</v>
      </c>
      <c r="D34" s="40">
        <f t="shared" si="1"/>
        <v>42753.383723646009</v>
      </c>
      <c r="E34" s="40">
        <f t="shared" si="4"/>
        <v>5383142.1398493648</v>
      </c>
    </row>
    <row r="35" spans="1:5" x14ac:dyDescent="0.25">
      <c r="A35" s="58"/>
      <c r="B35" s="59">
        <f t="shared" si="2"/>
        <v>9108.7453495874797</v>
      </c>
      <c r="C35" s="73">
        <f t="shared" si="3"/>
        <v>33644.63837405853</v>
      </c>
      <c r="D35" s="40">
        <f t="shared" si="1"/>
        <v>42753.383723646009</v>
      </c>
      <c r="E35" s="40">
        <f t="shared" si="4"/>
        <v>5340388.7561257184</v>
      </c>
    </row>
    <row r="36" spans="1:5" x14ac:dyDescent="0.25">
      <c r="A36" s="58"/>
      <c r="B36" s="59">
        <f t="shared" si="2"/>
        <v>9375.9539978602697</v>
      </c>
      <c r="C36" s="73">
        <f t="shared" si="3"/>
        <v>33377.42972578574</v>
      </c>
      <c r="D36" s="40">
        <f t="shared" si="1"/>
        <v>42753.383723646009</v>
      </c>
      <c r="E36" s="40">
        <f t="shared" si="4"/>
        <v>5297635.372402072</v>
      </c>
    </row>
    <row r="37" spans="1:5" x14ac:dyDescent="0.25">
      <c r="A37" s="58"/>
      <c r="B37" s="59">
        <f t="shared" si="2"/>
        <v>9643.1626461330598</v>
      </c>
      <c r="C37" s="73">
        <f t="shared" si="3"/>
        <v>33110.22107751295</v>
      </c>
      <c r="D37" s="40">
        <f t="shared" si="1"/>
        <v>42753.383723646009</v>
      </c>
      <c r="E37" s="40">
        <f t="shared" si="4"/>
        <v>5254881.9886784256</v>
      </c>
    </row>
    <row r="38" spans="1:5" x14ac:dyDescent="0.25">
      <c r="A38" s="58"/>
      <c r="B38" s="59">
        <f t="shared" si="2"/>
        <v>9910.3712944058498</v>
      </c>
      <c r="C38" s="73">
        <f t="shared" si="3"/>
        <v>32843.01242924016</v>
      </c>
      <c r="D38" s="40">
        <f t="shared" si="1"/>
        <v>42753.383723646009</v>
      </c>
      <c r="E38" s="40">
        <f t="shared" si="4"/>
        <v>5212128.6049547791</v>
      </c>
    </row>
    <row r="39" spans="1:5" x14ac:dyDescent="0.25">
      <c r="A39" s="58"/>
      <c r="B39" s="59">
        <f t="shared" si="2"/>
        <v>10177.579942678643</v>
      </c>
      <c r="C39" s="73">
        <f t="shared" si="3"/>
        <v>32575.803780967366</v>
      </c>
      <c r="D39" s="40">
        <f t="shared" si="1"/>
        <v>42753.383723646009</v>
      </c>
      <c r="E39" s="40">
        <f t="shared" si="4"/>
        <v>5169375.2212311327</v>
      </c>
    </row>
    <row r="40" spans="1:5" x14ac:dyDescent="0.25">
      <c r="A40" s="58"/>
      <c r="B40" s="59">
        <f t="shared" si="2"/>
        <v>10444.788590951433</v>
      </c>
      <c r="C40" s="73">
        <f t="shared" si="3"/>
        <v>32308.595132694576</v>
      </c>
      <c r="D40" s="40">
        <f t="shared" si="1"/>
        <v>42753.383723646009</v>
      </c>
      <c r="E40" s="40">
        <f t="shared" si="4"/>
        <v>5126621.8375074863</v>
      </c>
    </row>
    <row r="41" spans="1:5" x14ac:dyDescent="0.25">
      <c r="A41" s="58">
        <v>2</v>
      </c>
      <c r="B41" s="59">
        <f t="shared" si="2"/>
        <v>10711.997239224223</v>
      </c>
      <c r="C41" s="73">
        <f t="shared" si="3"/>
        <v>32041.386484421786</v>
      </c>
      <c r="D41" s="40">
        <f t="shared" si="1"/>
        <v>42753.383723646009</v>
      </c>
      <c r="E41" s="40">
        <f t="shared" si="4"/>
        <v>5083868.4537838399</v>
      </c>
    </row>
    <row r="42" spans="1:5" x14ac:dyDescent="0.25">
      <c r="A42" s="58"/>
      <c r="B42" s="59">
        <f t="shared" si="2"/>
        <v>10979.205887497013</v>
      </c>
      <c r="C42" s="73">
        <f t="shared" si="3"/>
        <v>31774.177836148996</v>
      </c>
      <c r="D42" s="40">
        <f t="shared" si="1"/>
        <v>42753.383723646009</v>
      </c>
      <c r="E42" s="40">
        <f t="shared" si="4"/>
        <v>5041115.0700601935</v>
      </c>
    </row>
    <row r="43" spans="1:5" x14ac:dyDescent="0.25">
      <c r="A43" s="58"/>
      <c r="B43" s="59">
        <f t="shared" si="2"/>
        <v>11246.414535769803</v>
      </c>
      <c r="C43" s="73">
        <f t="shared" si="3"/>
        <v>31506.969187876206</v>
      </c>
      <c r="D43" s="40">
        <f t="shared" si="1"/>
        <v>42753.383723646009</v>
      </c>
      <c r="E43" s="40">
        <f t="shared" si="4"/>
        <v>4998361.6863365471</v>
      </c>
    </row>
    <row r="44" spans="1:5" x14ac:dyDescent="0.25">
      <c r="A44" s="58"/>
      <c r="B44" s="59">
        <f t="shared" si="2"/>
        <v>11513.623184042593</v>
      </c>
      <c r="C44" s="73">
        <f t="shared" si="3"/>
        <v>31239.760539603416</v>
      </c>
      <c r="D44" s="40">
        <f t="shared" si="1"/>
        <v>42753.383723646009</v>
      </c>
      <c r="E44" s="40">
        <f t="shared" si="4"/>
        <v>4955608.3026129007</v>
      </c>
    </row>
    <row r="45" spans="1:5" x14ac:dyDescent="0.25">
      <c r="A45" s="58"/>
      <c r="B45" s="59">
        <f t="shared" si="2"/>
        <v>11780.831832315384</v>
      </c>
      <c r="C45" s="73">
        <f t="shared" si="3"/>
        <v>30972.551891330626</v>
      </c>
      <c r="D45" s="40">
        <f t="shared" si="1"/>
        <v>42753.383723646009</v>
      </c>
      <c r="E45" s="40">
        <f t="shared" si="4"/>
        <v>4912854.9188892543</v>
      </c>
    </row>
    <row r="46" spans="1:5" x14ac:dyDescent="0.25">
      <c r="A46" s="58"/>
      <c r="B46" s="59">
        <f t="shared" si="2"/>
        <v>12048.040480588174</v>
      </c>
      <c r="C46" s="73">
        <f t="shared" si="3"/>
        <v>30705.343243057836</v>
      </c>
      <c r="D46" s="40">
        <f t="shared" si="1"/>
        <v>42753.383723646009</v>
      </c>
      <c r="E46" s="40">
        <f t="shared" si="4"/>
        <v>4870101.5351656079</v>
      </c>
    </row>
    <row r="47" spans="1:5" x14ac:dyDescent="0.25">
      <c r="A47" s="58"/>
      <c r="B47" s="59">
        <f t="shared" si="2"/>
        <v>12315.249128860964</v>
      </c>
      <c r="C47" s="73">
        <f t="shared" si="3"/>
        <v>30438.134594785046</v>
      </c>
      <c r="D47" s="40">
        <f t="shared" si="1"/>
        <v>42753.383723646009</v>
      </c>
      <c r="E47" s="40">
        <f t="shared" si="4"/>
        <v>4827348.1514419615</v>
      </c>
    </row>
    <row r="48" spans="1:5" x14ac:dyDescent="0.25">
      <c r="A48" s="58"/>
      <c r="B48" s="59">
        <f t="shared" si="2"/>
        <v>12582.457777133754</v>
      </c>
      <c r="C48" s="73">
        <f t="shared" si="3"/>
        <v>30170.925946512256</v>
      </c>
      <c r="D48" s="40">
        <f t="shared" si="1"/>
        <v>42753.383723646009</v>
      </c>
      <c r="E48" s="40">
        <f t="shared" si="4"/>
        <v>4784594.7677183151</v>
      </c>
    </row>
    <row r="49" spans="1:5" x14ac:dyDescent="0.25">
      <c r="A49" s="58"/>
      <c r="B49" s="59">
        <f t="shared" si="2"/>
        <v>12849.666425406544</v>
      </c>
      <c r="C49" s="73">
        <f t="shared" si="3"/>
        <v>29903.717298239466</v>
      </c>
      <c r="D49" s="40">
        <f t="shared" si="1"/>
        <v>42753.383723646009</v>
      </c>
      <c r="E49" s="40">
        <f t="shared" si="4"/>
        <v>4741841.3839946687</v>
      </c>
    </row>
    <row r="50" spans="1:5" x14ac:dyDescent="0.25">
      <c r="A50" s="58"/>
      <c r="B50" s="59">
        <f t="shared" si="2"/>
        <v>13116.875073679334</v>
      </c>
      <c r="C50" s="73">
        <f t="shared" si="3"/>
        <v>29636.508649966676</v>
      </c>
      <c r="D50" s="40">
        <f t="shared" si="1"/>
        <v>42753.383723646009</v>
      </c>
      <c r="E50" s="40">
        <f t="shared" si="4"/>
        <v>4699088.0002710223</v>
      </c>
    </row>
    <row r="51" spans="1:5" x14ac:dyDescent="0.25">
      <c r="A51" s="58"/>
      <c r="B51" s="59">
        <f t="shared" si="2"/>
        <v>13384.083721952124</v>
      </c>
      <c r="C51" s="73">
        <f t="shared" si="3"/>
        <v>29369.300001693886</v>
      </c>
      <c r="D51" s="40">
        <f t="shared" si="1"/>
        <v>42753.383723646009</v>
      </c>
      <c r="E51" s="40">
        <f t="shared" si="4"/>
        <v>4656334.6165473759</v>
      </c>
    </row>
    <row r="52" spans="1:5" x14ac:dyDescent="0.25">
      <c r="A52" s="58"/>
      <c r="B52" s="59">
        <f t="shared" si="2"/>
        <v>13651.292370224914</v>
      </c>
      <c r="C52" s="73">
        <f t="shared" si="3"/>
        <v>29102.091353421096</v>
      </c>
      <c r="D52" s="40">
        <f t="shared" si="1"/>
        <v>42753.383723646009</v>
      </c>
      <c r="E52" s="40">
        <f t="shared" si="4"/>
        <v>4613581.2328237295</v>
      </c>
    </row>
    <row r="53" spans="1:5" x14ac:dyDescent="0.25">
      <c r="A53" s="58">
        <v>3</v>
      </c>
      <c r="B53" s="59">
        <f t="shared" si="2"/>
        <v>13918.501018497704</v>
      </c>
      <c r="C53" s="73">
        <f t="shared" si="3"/>
        <v>28834.882705148306</v>
      </c>
      <c r="D53" s="40">
        <f t="shared" si="1"/>
        <v>42753.383723646009</v>
      </c>
      <c r="E53" s="40">
        <f t="shared" si="4"/>
        <v>4570827.8491000831</v>
      </c>
    </row>
    <row r="54" spans="1:5" x14ac:dyDescent="0.25">
      <c r="A54" s="58"/>
      <c r="B54" s="59">
        <f t="shared" si="2"/>
        <v>14185.709666770494</v>
      </c>
      <c r="C54" s="73">
        <f t="shared" si="3"/>
        <v>28567.674056875516</v>
      </c>
      <c r="D54" s="40">
        <f t="shared" si="1"/>
        <v>42753.383723646009</v>
      </c>
      <c r="E54" s="40">
        <f t="shared" si="4"/>
        <v>4528074.4653764367</v>
      </c>
    </row>
    <row r="55" spans="1:5" x14ac:dyDescent="0.25">
      <c r="A55" s="58"/>
      <c r="B55" s="59">
        <f t="shared" si="2"/>
        <v>14452.918315043284</v>
      </c>
      <c r="C55" s="73">
        <f t="shared" si="3"/>
        <v>28300.465408602726</v>
      </c>
      <c r="D55" s="40">
        <f t="shared" si="1"/>
        <v>42753.383723646009</v>
      </c>
      <c r="E55" s="40">
        <f t="shared" si="4"/>
        <v>4485321.0816527903</v>
      </c>
    </row>
    <row r="56" spans="1:5" x14ac:dyDescent="0.25">
      <c r="A56" s="58"/>
      <c r="B56" s="59">
        <f t="shared" si="2"/>
        <v>14720.126963316074</v>
      </c>
      <c r="C56" s="73">
        <f t="shared" si="3"/>
        <v>28033.256760329936</v>
      </c>
      <c r="D56" s="40">
        <f t="shared" si="1"/>
        <v>42753.383723646009</v>
      </c>
      <c r="E56" s="40">
        <f t="shared" si="4"/>
        <v>4442567.6979291439</v>
      </c>
    </row>
    <row r="57" spans="1:5" x14ac:dyDescent="0.25">
      <c r="A57" s="58"/>
      <c r="B57" s="59">
        <f t="shared" si="2"/>
        <v>14987.335611588864</v>
      </c>
      <c r="C57" s="73">
        <f t="shared" si="3"/>
        <v>27766.048112057146</v>
      </c>
      <c r="D57" s="40">
        <f t="shared" si="1"/>
        <v>42753.383723646009</v>
      </c>
      <c r="E57" s="40">
        <f t="shared" si="4"/>
        <v>4399814.3142054975</v>
      </c>
    </row>
    <row r="58" spans="1:5" x14ac:dyDescent="0.25">
      <c r="A58" s="58"/>
      <c r="B58" s="59">
        <f t="shared" si="2"/>
        <v>15254.544259861654</v>
      </c>
      <c r="C58" s="73">
        <f t="shared" si="3"/>
        <v>27498.839463784356</v>
      </c>
      <c r="D58" s="40">
        <f t="shared" si="1"/>
        <v>42753.383723646009</v>
      </c>
      <c r="E58" s="40">
        <f t="shared" si="4"/>
        <v>4357060.9304818511</v>
      </c>
    </row>
    <row r="59" spans="1:5" x14ac:dyDescent="0.25">
      <c r="A59" s="58"/>
      <c r="B59" s="59">
        <f t="shared" si="2"/>
        <v>15521.752908134444</v>
      </c>
      <c r="C59" s="73">
        <f t="shared" si="3"/>
        <v>27231.630815511566</v>
      </c>
      <c r="D59" s="40">
        <f t="shared" si="1"/>
        <v>42753.383723646009</v>
      </c>
      <c r="E59" s="40">
        <f t="shared" si="4"/>
        <v>4314307.5467582047</v>
      </c>
    </row>
    <row r="60" spans="1:5" x14ac:dyDescent="0.25">
      <c r="A60" s="58"/>
      <c r="B60" s="59">
        <f t="shared" si="2"/>
        <v>15788.961556407234</v>
      </c>
      <c r="C60" s="73">
        <f t="shared" si="3"/>
        <v>26964.422167238776</v>
      </c>
      <c r="D60" s="40">
        <f t="shared" si="1"/>
        <v>42753.383723646009</v>
      </c>
      <c r="E60" s="40">
        <f t="shared" si="4"/>
        <v>4271554.1630345583</v>
      </c>
    </row>
    <row r="61" spans="1:5" x14ac:dyDescent="0.25">
      <c r="A61" s="58"/>
      <c r="B61" s="59">
        <f t="shared" si="2"/>
        <v>16056.170204680024</v>
      </c>
      <c r="C61" s="73">
        <f t="shared" si="3"/>
        <v>26697.213518965986</v>
      </c>
      <c r="D61" s="40">
        <f t="shared" si="1"/>
        <v>42753.383723646009</v>
      </c>
      <c r="E61" s="40">
        <f t="shared" si="4"/>
        <v>4228800.7793109119</v>
      </c>
    </row>
    <row r="62" spans="1:5" x14ac:dyDescent="0.25">
      <c r="A62" s="58"/>
      <c r="B62" s="59">
        <f t="shared" si="2"/>
        <v>16323.378852952814</v>
      </c>
      <c r="C62" s="73">
        <f t="shared" si="3"/>
        <v>26430.004870693196</v>
      </c>
      <c r="D62" s="40">
        <f t="shared" si="1"/>
        <v>42753.383723646009</v>
      </c>
      <c r="E62" s="40">
        <f t="shared" si="4"/>
        <v>4186047.395587266</v>
      </c>
    </row>
    <row r="63" spans="1:5" x14ac:dyDescent="0.25">
      <c r="A63" s="58"/>
      <c r="B63" s="59">
        <f t="shared" si="2"/>
        <v>16590.5875012256</v>
      </c>
      <c r="C63" s="73">
        <f t="shared" si="3"/>
        <v>26162.796222420409</v>
      </c>
      <c r="D63" s="40">
        <f t="shared" si="1"/>
        <v>42753.383723646009</v>
      </c>
      <c r="E63" s="40">
        <f t="shared" si="4"/>
        <v>4143294.01186362</v>
      </c>
    </row>
    <row r="64" spans="1:5" x14ac:dyDescent="0.25">
      <c r="A64" s="58"/>
      <c r="B64" s="59">
        <f t="shared" si="2"/>
        <v>16857.796149498387</v>
      </c>
      <c r="C64" s="73">
        <f t="shared" si="3"/>
        <v>25895.587574147623</v>
      </c>
      <c r="D64" s="40">
        <f t="shared" si="1"/>
        <v>42753.383723646009</v>
      </c>
      <c r="E64" s="40">
        <f t="shared" si="4"/>
        <v>4100540.6281399741</v>
      </c>
    </row>
    <row r="65" spans="1:5" x14ac:dyDescent="0.25">
      <c r="A65" s="58">
        <v>4</v>
      </c>
      <c r="B65" s="59">
        <f t="shared" si="2"/>
        <v>17125.004797771173</v>
      </c>
      <c r="C65" s="73">
        <f t="shared" si="3"/>
        <v>25628.378925874837</v>
      </c>
      <c r="D65" s="40">
        <f t="shared" si="1"/>
        <v>42753.383723646009</v>
      </c>
      <c r="E65" s="40">
        <f t="shared" si="4"/>
        <v>4057787.2444163281</v>
      </c>
    </row>
    <row r="66" spans="1:5" x14ac:dyDescent="0.25">
      <c r="A66" s="58"/>
      <c r="B66" s="59">
        <f t="shared" si="2"/>
        <v>17392.213446043959</v>
      </c>
      <c r="C66" s="73">
        <f t="shared" si="3"/>
        <v>25361.17027760205</v>
      </c>
      <c r="D66" s="40">
        <f t="shared" si="1"/>
        <v>42753.383723646009</v>
      </c>
      <c r="E66" s="40">
        <f t="shared" si="4"/>
        <v>4015033.8606926822</v>
      </c>
    </row>
    <row r="67" spans="1:5" x14ac:dyDescent="0.25">
      <c r="A67" s="58"/>
      <c r="B67" s="59">
        <f t="shared" si="2"/>
        <v>17659.422094316749</v>
      </c>
      <c r="C67" s="73">
        <f t="shared" si="3"/>
        <v>25093.96162932926</v>
      </c>
      <c r="D67" s="40">
        <f t="shared" si="1"/>
        <v>42753.383723646009</v>
      </c>
      <c r="E67" s="40">
        <f t="shared" si="4"/>
        <v>3972280.4769690363</v>
      </c>
    </row>
    <row r="68" spans="1:5" x14ac:dyDescent="0.25">
      <c r="A68" s="58"/>
      <c r="B68" s="59">
        <f t="shared" si="2"/>
        <v>17926.630742589536</v>
      </c>
      <c r="C68" s="73">
        <f t="shared" si="3"/>
        <v>24826.752981056474</v>
      </c>
      <c r="D68" s="40">
        <f t="shared" si="1"/>
        <v>42753.383723646009</v>
      </c>
      <c r="E68" s="40">
        <f t="shared" si="4"/>
        <v>3929527.0932453903</v>
      </c>
    </row>
    <row r="69" spans="1:5" x14ac:dyDescent="0.25">
      <c r="A69" s="58"/>
      <c r="B69" s="59">
        <f t="shared" si="2"/>
        <v>18193.839390862322</v>
      </c>
      <c r="C69" s="73">
        <f t="shared" si="3"/>
        <v>24559.544332783687</v>
      </c>
      <c r="D69" s="40">
        <f t="shared" si="1"/>
        <v>42753.383723646009</v>
      </c>
      <c r="E69" s="40">
        <f t="shared" si="4"/>
        <v>3886773.7095217444</v>
      </c>
    </row>
    <row r="70" spans="1:5" x14ac:dyDescent="0.25">
      <c r="A70" s="58"/>
      <c r="B70" s="59">
        <f t="shared" si="2"/>
        <v>18461.048039135108</v>
      </c>
      <c r="C70" s="73">
        <f t="shared" si="3"/>
        <v>24292.335684510901</v>
      </c>
      <c r="D70" s="40">
        <f t="shared" si="1"/>
        <v>42753.383723646009</v>
      </c>
      <c r="E70" s="40">
        <f t="shared" si="4"/>
        <v>3844020.3257980985</v>
      </c>
    </row>
    <row r="71" spans="1:5" x14ac:dyDescent="0.25">
      <c r="A71" s="58"/>
      <c r="B71" s="59">
        <f t="shared" si="2"/>
        <v>18728.256687407895</v>
      </c>
      <c r="C71" s="73">
        <f t="shared" si="3"/>
        <v>24025.127036238115</v>
      </c>
      <c r="D71" s="40">
        <f t="shared" si="1"/>
        <v>42753.383723646009</v>
      </c>
      <c r="E71" s="40">
        <f t="shared" si="4"/>
        <v>3801266.9420744525</v>
      </c>
    </row>
    <row r="72" spans="1:5" x14ac:dyDescent="0.25">
      <c r="A72" s="58"/>
      <c r="B72" s="59">
        <f t="shared" si="2"/>
        <v>18995.465335680685</v>
      </c>
      <c r="C72" s="73">
        <f t="shared" si="3"/>
        <v>23757.918387965325</v>
      </c>
      <c r="D72" s="40">
        <f t="shared" si="1"/>
        <v>42753.383723646009</v>
      </c>
      <c r="E72" s="40">
        <f t="shared" si="4"/>
        <v>3758513.5583508066</v>
      </c>
    </row>
    <row r="73" spans="1:5" x14ac:dyDescent="0.25">
      <c r="A73" s="58"/>
      <c r="B73" s="59">
        <f t="shared" si="2"/>
        <v>19262.673983953471</v>
      </c>
      <c r="C73" s="73">
        <f t="shared" si="3"/>
        <v>23490.709739692538</v>
      </c>
      <c r="D73" s="40">
        <f t="shared" si="1"/>
        <v>42753.383723646009</v>
      </c>
      <c r="E73" s="40">
        <f t="shared" si="4"/>
        <v>3715760.1746271607</v>
      </c>
    </row>
    <row r="74" spans="1:5" x14ac:dyDescent="0.25">
      <c r="A74" s="58"/>
      <c r="B74" s="59">
        <f t="shared" si="2"/>
        <v>19529.882632226258</v>
      </c>
      <c r="C74" s="73">
        <f t="shared" si="3"/>
        <v>23223.501091419752</v>
      </c>
      <c r="D74" s="40">
        <f t="shared" si="1"/>
        <v>42753.383723646009</v>
      </c>
      <c r="E74" s="40">
        <f t="shared" si="4"/>
        <v>3673006.7909035147</v>
      </c>
    </row>
    <row r="75" spans="1:5" x14ac:dyDescent="0.25">
      <c r="A75" s="58"/>
      <c r="B75" s="59">
        <f t="shared" si="2"/>
        <v>19797.091280499044</v>
      </c>
      <c r="C75" s="73">
        <f t="shared" si="3"/>
        <v>22956.292443146966</v>
      </c>
      <c r="D75" s="40">
        <f t="shared" si="1"/>
        <v>42753.383723646009</v>
      </c>
      <c r="E75" s="40">
        <f t="shared" si="4"/>
        <v>3630253.4071798688</v>
      </c>
    </row>
    <row r="76" spans="1:5" x14ac:dyDescent="0.25">
      <c r="A76" s="58"/>
      <c r="B76" s="59">
        <f t="shared" si="2"/>
        <v>20064.29992877183</v>
      </c>
      <c r="C76" s="73">
        <f t="shared" si="3"/>
        <v>22689.083794874179</v>
      </c>
      <c r="D76" s="40">
        <f t="shared" si="1"/>
        <v>42753.383723646009</v>
      </c>
      <c r="E76" s="40">
        <f t="shared" si="4"/>
        <v>3587500.0234562228</v>
      </c>
    </row>
    <row r="77" spans="1:5" x14ac:dyDescent="0.25">
      <c r="A77" s="58">
        <v>5</v>
      </c>
      <c r="B77" s="59">
        <f t="shared" si="2"/>
        <v>20331.50857704462</v>
      </c>
      <c r="C77" s="73">
        <f t="shared" si="3"/>
        <v>22421.875146601389</v>
      </c>
      <c r="D77" s="40">
        <f t="shared" si="1"/>
        <v>42753.383723646009</v>
      </c>
      <c r="E77" s="40">
        <f t="shared" si="4"/>
        <v>3544746.6397325769</v>
      </c>
    </row>
    <row r="78" spans="1:5" x14ac:dyDescent="0.25">
      <c r="A78" s="58"/>
      <c r="B78" s="59">
        <f t="shared" si="2"/>
        <v>20598.717225317407</v>
      </c>
      <c r="C78" s="73">
        <f t="shared" si="3"/>
        <v>22154.666498328603</v>
      </c>
      <c r="D78" s="40">
        <f t="shared" si="1"/>
        <v>42753.383723646009</v>
      </c>
      <c r="E78" s="40">
        <f t="shared" si="4"/>
        <v>3501993.256008931</v>
      </c>
    </row>
    <row r="79" spans="1:5" x14ac:dyDescent="0.25">
      <c r="A79" s="58"/>
      <c r="B79" s="59">
        <f t="shared" si="2"/>
        <v>20865.925873590193</v>
      </c>
      <c r="C79" s="73">
        <f t="shared" si="3"/>
        <v>21887.457850055816</v>
      </c>
      <c r="D79" s="40">
        <f t="shared" si="1"/>
        <v>42753.383723646009</v>
      </c>
      <c r="E79" s="40">
        <f t="shared" si="4"/>
        <v>3459239.872285285</v>
      </c>
    </row>
    <row r="80" spans="1:5" x14ac:dyDescent="0.25">
      <c r="A80" s="58"/>
      <c r="B80" s="59">
        <f t="shared" si="2"/>
        <v>21133.134521862979</v>
      </c>
      <c r="C80" s="73">
        <f t="shared" si="3"/>
        <v>21620.24920178303</v>
      </c>
      <c r="D80" s="40">
        <f t="shared" si="1"/>
        <v>42753.383723646009</v>
      </c>
      <c r="E80" s="40">
        <f t="shared" si="4"/>
        <v>3416486.4885616391</v>
      </c>
    </row>
    <row r="81" spans="1:5" x14ac:dyDescent="0.25">
      <c r="A81" s="58"/>
      <c r="B81" s="59">
        <f t="shared" si="2"/>
        <v>21400.343170135766</v>
      </c>
      <c r="C81" s="73">
        <f t="shared" si="3"/>
        <v>21353.040553510244</v>
      </c>
      <c r="D81" s="40">
        <f t="shared" si="1"/>
        <v>42753.383723646009</v>
      </c>
      <c r="E81" s="40">
        <f t="shared" si="4"/>
        <v>3373733.1048379932</v>
      </c>
    </row>
    <row r="82" spans="1:5" x14ac:dyDescent="0.25">
      <c r="A82" s="58"/>
      <c r="B82" s="59">
        <f t="shared" si="2"/>
        <v>21667.551818408552</v>
      </c>
      <c r="C82" s="73">
        <f t="shared" si="3"/>
        <v>21085.831905237457</v>
      </c>
      <c r="D82" s="40">
        <f t="shared" ref="D82:D88" si="5">$B$10</f>
        <v>42753.383723646009</v>
      </c>
      <c r="E82" s="40">
        <f t="shared" si="4"/>
        <v>3330979.7211143472</v>
      </c>
    </row>
    <row r="83" spans="1:5" x14ac:dyDescent="0.25">
      <c r="A83" s="58"/>
      <c r="B83" s="59">
        <f t="shared" ref="B83:B88" si="6">D83-C83</f>
        <v>21934.760466681342</v>
      </c>
      <c r="C83" s="73">
        <f t="shared" ref="C83:C88" si="7">$B$8*E82</f>
        <v>20818.623256964667</v>
      </c>
      <c r="D83" s="40">
        <f t="shared" si="5"/>
        <v>42753.383723646009</v>
      </c>
      <c r="E83" s="40">
        <f t="shared" ref="E83:E88" si="8">E82-D83</f>
        <v>3288226.3373907013</v>
      </c>
    </row>
    <row r="84" spans="1:5" x14ac:dyDescent="0.25">
      <c r="A84" s="58"/>
      <c r="B84" s="59">
        <f t="shared" si="6"/>
        <v>22201.969114954129</v>
      </c>
      <c r="C84" s="73">
        <f t="shared" si="7"/>
        <v>20551.414608691881</v>
      </c>
      <c r="D84" s="40">
        <f t="shared" si="5"/>
        <v>42753.383723646009</v>
      </c>
      <c r="E84" s="40">
        <f t="shared" si="8"/>
        <v>3245472.9536670553</v>
      </c>
    </row>
    <row r="85" spans="1:5" x14ac:dyDescent="0.25">
      <c r="A85" s="58"/>
      <c r="B85" s="59">
        <f t="shared" si="6"/>
        <v>22469.177763226915</v>
      </c>
      <c r="C85" s="73">
        <f t="shared" si="7"/>
        <v>20284.205960419094</v>
      </c>
      <c r="D85" s="40">
        <f t="shared" si="5"/>
        <v>42753.383723646009</v>
      </c>
      <c r="E85" s="40">
        <f t="shared" si="8"/>
        <v>3202719.5699434094</v>
      </c>
    </row>
    <row r="86" spans="1:5" x14ac:dyDescent="0.25">
      <c r="A86" s="58"/>
      <c r="B86" s="59">
        <f t="shared" si="6"/>
        <v>22736.386411499701</v>
      </c>
      <c r="C86" s="73">
        <f t="shared" si="7"/>
        <v>20016.997312146308</v>
      </c>
      <c r="D86" s="40">
        <f t="shared" si="5"/>
        <v>42753.383723646009</v>
      </c>
      <c r="E86" s="40">
        <f t="shared" si="8"/>
        <v>3159966.1862197635</v>
      </c>
    </row>
    <row r="87" spans="1:5" x14ac:dyDescent="0.25">
      <c r="A87" s="58"/>
      <c r="B87" s="59">
        <f t="shared" si="6"/>
        <v>23003.595059772488</v>
      </c>
      <c r="C87" s="73">
        <f t="shared" si="7"/>
        <v>19749.788663873522</v>
      </c>
      <c r="D87" s="40">
        <f t="shared" si="5"/>
        <v>42753.383723646009</v>
      </c>
      <c r="E87" s="40">
        <f t="shared" si="8"/>
        <v>3117212.8024961175</v>
      </c>
    </row>
    <row r="88" spans="1:5" x14ac:dyDescent="0.25">
      <c r="A88" s="58"/>
      <c r="B88" s="59">
        <f t="shared" si="6"/>
        <v>23270.803708045278</v>
      </c>
      <c r="C88" s="73">
        <f t="shared" si="7"/>
        <v>19482.580015600732</v>
      </c>
      <c r="D88" s="40">
        <f t="shared" si="5"/>
        <v>42753.383723646009</v>
      </c>
      <c r="E88" s="40">
        <f t="shared" si="8"/>
        <v>3074459.4187724716</v>
      </c>
    </row>
    <row r="89" spans="1:5" x14ac:dyDescent="0.25">
      <c r="A89" s="58"/>
      <c r="B89" s="59"/>
      <c r="C89" s="73"/>
      <c r="D89" s="40"/>
      <c r="E89" s="40"/>
    </row>
    <row r="92" spans="1:5" x14ac:dyDescent="0.25">
      <c r="A92" s="34" t="s">
        <v>111</v>
      </c>
    </row>
    <row r="93" spans="1:5" x14ac:dyDescent="0.25">
      <c r="A93" s="34"/>
    </row>
    <row r="94" spans="1:5" x14ac:dyDescent="0.25">
      <c r="A94" s="58" t="s">
        <v>122</v>
      </c>
      <c r="B94" s="40">
        <f>B3</f>
        <v>8152650</v>
      </c>
    </row>
    <row r="95" spans="1:5" x14ac:dyDescent="0.25">
      <c r="A95" t="s">
        <v>123</v>
      </c>
      <c r="B95" s="39">
        <f>((B94*80%)/39)</f>
        <v>167233.84615384616</v>
      </c>
    </row>
    <row r="96" spans="1:5" x14ac:dyDescent="0.25">
      <c r="A96" t="s">
        <v>124</v>
      </c>
      <c r="B96" s="39">
        <v>450000</v>
      </c>
    </row>
    <row r="97" spans="1:6" x14ac:dyDescent="0.25">
      <c r="B97" s="39"/>
    </row>
    <row r="98" spans="1:6" x14ac:dyDescent="0.25">
      <c r="A98" t="s">
        <v>70</v>
      </c>
      <c r="B98" t="s">
        <v>120</v>
      </c>
      <c r="C98" t="s">
        <v>121</v>
      </c>
      <c r="D98" t="s">
        <v>126</v>
      </c>
    </row>
    <row r="99" spans="1:6" x14ac:dyDescent="0.25">
      <c r="A99">
        <v>0</v>
      </c>
      <c r="B99" s="39">
        <f>B95/2</f>
        <v>83616.923076923078</v>
      </c>
      <c r="C99" s="39">
        <v>0</v>
      </c>
      <c r="D99" s="40">
        <f>B94-B99</f>
        <v>8069033.076923077</v>
      </c>
      <c r="F99" s="65"/>
    </row>
    <row r="100" spans="1:6" x14ac:dyDescent="0.25">
      <c r="A100">
        <v>1</v>
      </c>
      <c r="B100" s="39">
        <f>$B$95</f>
        <v>167233.84615384616</v>
      </c>
      <c r="C100" s="39">
        <v>0</v>
      </c>
      <c r="D100" s="40">
        <f>D99-B100</f>
        <v>7901799.230769231</v>
      </c>
      <c r="F100" s="65"/>
    </row>
    <row r="101" spans="1:6" x14ac:dyDescent="0.25">
      <c r="A101">
        <v>2</v>
      </c>
      <c r="B101" s="39">
        <f>$B$95</f>
        <v>167233.84615384616</v>
      </c>
      <c r="C101" s="39">
        <v>0</v>
      </c>
      <c r="D101" s="40">
        <f>(D100-B101)</f>
        <v>7734565.384615385</v>
      </c>
    </row>
    <row r="102" spans="1:6" x14ac:dyDescent="0.25">
      <c r="A102">
        <v>3</v>
      </c>
      <c r="B102" s="39">
        <f>$B$95</f>
        <v>167233.84615384616</v>
      </c>
      <c r="C102" s="39">
        <f>(80%*$B$96)/36</f>
        <v>10000</v>
      </c>
      <c r="D102" s="40">
        <f>D101-B102-C102</f>
        <v>7557331.538461539</v>
      </c>
    </row>
    <row r="103" spans="1:6" x14ac:dyDescent="0.25">
      <c r="A103">
        <v>4</v>
      </c>
      <c r="B103" s="39">
        <f>$B$95</f>
        <v>167233.84615384616</v>
      </c>
      <c r="C103" s="39">
        <f>(80%*$B$96)/36</f>
        <v>10000</v>
      </c>
      <c r="D103" s="40">
        <f>D102-B103-C103</f>
        <v>7380097.692307693</v>
      </c>
    </row>
    <row r="104" spans="1:6" x14ac:dyDescent="0.25">
      <c r="A104">
        <v>5</v>
      </c>
      <c r="B104" s="39">
        <f>$B$95/2</f>
        <v>83616.923076923078</v>
      </c>
      <c r="C104" s="39">
        <f>((80%*$B$96)/36)/2</f>
        <v>5000</v>
      </c>
      <c r="D104" s="40">
        <f>D103-B104-C104</f>
        <v>7291480.7692307699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8"/>
  <sheetViews>
    <sheetView topLeftCell="A86" workbookViewId="0">
      <selection activeCell="B101" sqref="B101"/>
    </sheetView>
  </sheetViews>
  <sheetFormatPr defaultColWidth="8.85546875" defaultRowHeight="15" x14ac:dyDescent="0.25"/>
  <cols>
    <col min="1" max="1" width="91.140625" bestFit="1" customWidth="1"/>
    <col min="2" max="2" width="14" bestFit="1" customWidth="1"/>
    <col min="3" max="3" width="11.42578125" bestFit="1" customWidth="1"/>
    <col min="4" max="4" width="12.28515625" bestFit="1" customWidth="1"/>
    <col min="5" max="5" width="14" bestFit="1" customWidth="1"/>
  </cols>
  <sheetData>
    <row r="1" spans="1:5" x14ac:dyDescent="0.25">
      <c r="A1" s="1"/>
      <c r="B1" s="18"/>
      <c r="C1" s="18"/>
      <c r="D1" s="18"/>
      <c r="E1" s="1"/>
    </row>
    <row r="2" spans="1:5" x14ac:dyDescent="0.25">
      <c r="A2" s="17" t="s">
        <v>66</v>
      </c>
      <c r="B2" s="25"/>
      <c r="C2" s="18"/>
      <c r="D2" s="18"/>
      <c r="E2" s="1"/>
    </row>
    <row r="3" spans="1:5" x14ac:dyDescent="0.25">
      <c r="B3" s="18"/>
      <c r="C3" s="25"/>
      <c r="D3" s="18"/>
      <c r="E3" s="1"/>
    </row>
    <row r="4" spans="1:5" x14ac:dyDescent="0.25">
      <c r="A4" s="9" t="s">
        <v>65</v>
      </c>
      <c r="B4" s="26" t="s">
        <v>3</v>
      </c>
      <c r="C4" s="26" t="s">
        <v>7</v>
      </c>
      <c r="D4" s="26" t="s">
        <v>9</v>
      </c>
      <c r="E4" s="11" t="s">
        <v>61</v>
      </c>
    </row>
    <row r="5" spans="1:5" x14ac:dyDescent="0.25">
      <c r="A5" s="11" t="s">
        <v>57</v>
      </c>
      <c r="B5" s="26"/>
      <c r="C5" s="26"/>
      <c r="D5" s="26"/>
      <c r="E5" s="10"/>
    </row>
    <row r="6" spans="1:5" x14ac:dyDescent="0.25">
      <c r="A6" s="10" t="s">
        <v>4</v>
      </c>
      <c r="B6" s="27">
        <v>24156</v>
      </c>
      <c r="C6" s="27">
        <v>10266</v>
      </c>
      <c r="D6" s="27">
        <v>25968</v>
      </c>
      <c r="E6" s="12">
        <f>SUM(B6:D6)</f>
        <v>60390</v>
      </c>
    </row>
    <row r="7" spans="1:5" x14ac:dyDescent="0.25">
      <c r="A7" s="10" t="s">
        <v>5</v>
      </c>
      <c r="B7" s="27">
        <v>25</v>
      </c>
      <c r="C7" s="27">
        <v>23.5</v>
      </c>
      <c r="D7" s="27">
        <v>22</v>
      </c>
      <c r="E7" s="12">
        <f>SUM(B7:D7)</f>
        <v>70.5</v>
      </c>
    </row>
    <row r="8" spans="1:5" x14ac:dyDescent="0.25">
      <c r="A8" s="10" t="s">
        <v>63</v>
      </c>
      <c r="B8" s="27">
        <f>B6*B7</f>
        <v>603900</v>
      </c>
      <c r="C8" s="27">
        <f>C6*C7</f>
        <v>241251</v>
      </c>
      <c r="D8" s="27">
        <f>D6*D7</f>
        <v>571296</v>
      </c>
      <c r="E8" s="12">
        <f>SUM(B8:D8)</f>
        <v>1416447</v>
      </c>
    </row>
    <row r="9" spans="1:5" x14ac:dyDescent="0.25">
      <c r="A9" s="10"/>
      <c r="B9" s="27"/>
      <c r="C9" s="27"/>
      <c r="D9" s="27"/>
      <c r="E9" s="12"/>
    </row>
    <row r="10" spans="1:5" x14ac:dyDescent="0.25">
      <c r="A10" s="11" t="s">
        <v>58</v>
      </c>
      <c r="B10" s="27"/>
      <c r="C10" s="27"/>
      <c r="D10" s="27"/>
      <c r="E10" s="12"/>
    </row>
    <row r="11" spans="1:5" x14ac:dyDescent="0.25">
      <c r="A11" s="10" t="s">
        <v>59</v>
      </c>
      <c r="B11" s="28">
        <f>-8.5*B6*25%</f>
        <v>-51331.5</v>
      </c>
      <c r="C11" s="28">
        <f>-8.5*C6*25%</f>
        <v>-21815.25</v>
      </c>
      <c r="D11" s="28">
        <f>-8.5*D6*25%</f>
        <v>-55182</v>
      </c>
      <c r="E11" s="13">
        <f>-8.5*E6*25%</f>
        <v>-128328.75</v>
      </c>
    </row>
    <row r="12" spans="1:5" x14ac:dyDescent="0.25">
      <c r="A12" s="10" t="s">
        <v>68</v>
      </c>
      <c r="B12" s="28">
        <f>-50000</f>
        <v>-50000</v>
      </c>
      <c r="C12" s="28">
        <v>-50000</v>
      </c>
      <c r="D12" s="28">
        <v>-50000</v>
      </c>
      <c r="E12" s="12">
        <f>SUM(B12:D12)</f>
        <v>-150000</v>
      </c>
    </row>
    <row r="13" spans="1:5" x14ac:dyDescent="0.25">
      <c r="A13" s="10" t="s">
        <v>80</v>
      </c>
      <c r="B13" s="28"/>
      <c r="C13" s="28"/>
      <c r="D13" s="28"/>
      <c r="E13" s="12">
        <f>-'Building Purchase&amp;Depreciation'!B10</f>
        <v>-42753.383723646009</v>
      </c>
    </row>
    <row r="14" spans="1:5" x14ac:dyDescent="0.25">
      <c r="A14" s="10" t="s">
        <v>64</v>
      </c>
      <c r="B14" s="28"/>
      <c r="C14" s="28"/>
      <c r="D14" s="28"/>
      <c r="E14" s="12">
        <f>SUM(E11:E13)</f>
        <v>-321082.13372364599</v>
      </c>
    </row>
    <row r="15" spans="1:5" x14ac:dyDescent="0.25">
      <c r="A15" s="10"/>
      <c r="B15" s="28"/>
      <c r="C15" s="28"/>
      <c r="D15" s="28"/>
      <c r="E15" s="12"/>
    </row>
    <row r="16" spans="1:5" x14ac:dyDescent="0.25">
      <c r="A16" s="14" t="s">
        <v>60</v>
      </c>
      <c r="B16" s="28"/>
      <c r="C16" s="28"/>
      <c r="D16" s="28"/>
      <c r="E16" s="12">
        <f>E8+E14</f>
        <v>1095364.8662763541</v>
      </c>
    </row>
    <row r="17" spans="1:10" x14ac:dyDescent="0.25">
      <c r="A17" s="15"/>
      <c r="B17" s="28"/>
      <c r="C17" s="28"/>
      <c r="D17" s="28"/>
      <c r="E17" s="12"/>
    </row>
    <row r="18" spans="1:10" x14ac:dyDescent="0.25">
      <c r="A18" s="10"/>
      <c r="B18" s="28"/>
      <c r="C18" s="28"/>
      <c r="D18" s="28"/>
      <c r="E18" s="12"/>
    </row>
    <row r="19" spans="1:10" x14ac:dyDescent="0.25">
      <c r="A19" s="15"/>
      <c r="B19" s="29"/>
      <c r="C19" s="29"/>
      <c r="D19" s="29"/>
      <c r="E19" s="16"/>
    </row>
    <row r="20" spans="1:10" x14ac:dyDescent="0.25">
      <c r="A20" s="15"/>
      <c r="B20" s="29"/>
      <c r="C20" s="29"/>
      <c r="D20" s="29"/>
      <c r="E20" s="16"/>
    </row>
    <row r="21" spans="1:10" x14ac:dyDescent="0.25">
      <c r="A21" s="9" t="s">
        <v>32</v>
      </c>
      <c r="B21" s="26" t="s">
        <v>3</v>
      </c>
      <c r="C21" s="26" t="s">
        <v>7</v>
      </c>
      <c r="D21" s="26" t="s">
        <v>9</v>
      </c>
      <c r="E21" s="11" t="s">
        <v>61</v>
      </c>
    </row>
    <row r="22" spans="1:10" x14ac:dyDescent="0.25">
      <c r="A22" s="11" t="s">
        <v>57</v>
      </c>
      <c r="B22" s="26"/>
      <c r="C22" s="26"/>
      <c r="D22" s="26"/>
      <c r="E22" s="10"/>
    </row>
    <row r="23" spans="1:10" x14ac:dyDescent="0.25">
      <c r="A23" s="10" t="s">
        <v>4</v>
      </c>
      <c r="B23" s="27">
        <v>24156</v>
      </c>
      <c r="C23" s="27">
        <v>10266</v>
      </c>
      <c r="D23" s="27">
        <v>25968</v>
      </c>
      <c r="E23" s="12">
        <f>SUM(B23:D23)</f>
        <v>60390</v>
      </c>
    </row>
    <row r="24" spans="1:10" x14ac:dyDescent="0.25">
      <c r="A24" s="10" t="s">
        <v>5</v>
      </c>
      <c r="B24" s="27">
        <v>25</v>
      </c>
      <c r="C24" s="27">
        <f>23.5*102.5%</f>
        <v>24.087499999999999</v>
      </c>
      <c r="D24" s="27">
        <f>22+2</f>
        <v>24</v>
      </c>
      <c r="E24" s="12">
        <f>SUM(B24:D24)</f>
        <v>73.087500000000006</v>
      </c>
    </row>
    <row r="25" spans="1:10" x14ac:dyDescent="0.25">
      <c r="A25" s="10" t="s">
        <v>63</v>
      </c>
      <c r="B25" s="27">
        <f>B23*B24</f>
        <v>603900</v>
      </c>
      <c r="C25" s="27">
        <f>C23*C24</f>
        <v>247282.27499999999</v>
      </c>
      <c r="D25" s="27">
        <f>D23*D24</f>
        <v>623232</v>
      </c>
      <c r="E25" s="12">
        <f>SUM(B25:D25)</f>
        <v>1474414.2749999999</v>
      </c>
    </row>
    <row r="26" spans="1:10" x14ac:dyDescent="0.25">
      <c r="A26" s="10"/>
      <c r="B26" s="27"/>
      <c r="C26" s="27"/>
      <c r="D26" s="27"/>
      <c r="E26" s="12"/>
    </row>
    <row r="27" spans="1:10" x14ac:dyDescent="0.25">
      <c r="A27" s="11" t="s">
        <v>58</v>
      </c>
      <c r="B27" s="27"/>
      <c r="C27" s="27"/>
      <c r="D27" s="27"/>
      <c r="E27" s="12"/>
    </row>
    <row r="28" spans="1:10" s="42" customFormat="1" x14ac:dyDescent="0.25">
      <c r="A28" s="10" t="s">
        <v>59</v>
      </c>
      <c r="B28" s="28">
        <f>-8.5*102.5%*25%*B23</f>
        <v>-52614.787499999991</v>
      </c>
      <c r="C28" s="28">
        <f>-8.5*102.5%*25%*C23</f>
        <v>-22360.631249999995</v>
      </c>
      <c r="D28" s="28">
        <f>-8.5*102.5%*25%*D23</f>
        <v>-56561.549999999988</v>
      </c>
      <c r="E28" s="13">
        <f>-8.5*102.5%*25%*E23</f>
        <v>-131536.96874999997</v>
      </c>
      <c r="J28" s="43"/>
    </row>
    <row r="29" spans="1:10" x14ac:dyDescent="0.25">
      <c r="A29" s="10" t="s">
        <v>68</v>
      </c>
      <c r="B29" s="28">
        <f>-50000</f>
        <v>-50000</v>
      </c>
      <c r="C29" s="28">
        <v>-50000</v>
      </c>
      <c r="D29" s="28">
        <v>-50000</v>
      </c>
      <c r="E29" s="12">
        <f>SUM(B29:D29)</f>
        <v>-150000</v>
      </c>
    </row>
    <row r="30" spans="1:10" x14ac:dyDescent="0.25">
      <c r="A30" s="10" t="s">
        <v>80</v>
      </c>
      <c r="B30" s="28"/>
      <c r="C30" s="28"/>
      <c r="D30" s="28"/>
      <c r="E30" s="12">
        <f>-'Building Purchase&amp;Depreciation'!B10</f>
        <v>-42753.383723646009</v>
      </c>
    </row>
    <row r="31" spans="1:10" x14ac:dyDescent="0.25">
      <c r="A31" s="10" t="s">
        <v>64</v>
      </c>
      <c r="B31" s="28"/>
      <c r="C31" s="28"/>
      <c r="D31" s="28"/>
      <c r="E31" s="12">
        <f>SUM(E28:E30)</f>
        <v>-324290.35247364599</v>
      </c>
      <c r="F31" s="36"/>
    </row>
    <row r="32" spans="1:10" x14ac:dyDescent="0.25">
      <c r="A32" s="10"/>
      <c r="B32" s="28"/>
      <c r="C32" s="28"/>
      <c r="D32" s="28"/>
      <c r="E32" s="12"/>
      <c r="F32" s="36"/>
    </row>
    <row r="33" spans="1:6" x14ac:dyDescent="0.25">
      <c r="A33" s="14" t="s">
        <v>60</v>
      </c>
      <c r="B33" s="28"/>
      <c r="C33" s="28"/>
      <c r="D33" s="28"/>
      <c r="E33" s="12">
        <f>E25+E31</f>
        <v>1150123.922526354</v>
      </c>
    </row>
    <row r="34" spans="1:6" x14ac:dyDescent="0.25">
      <c r="A34" s="15"/>
      <c r="B34" s="28"/>
      <c r="C34" s="28"/>
      <c r="D34" s="28"/>
      <c r="E34" s="12"/>
    </row>
    <row r="35" spans="1:6" x14ac:dyDescent="0.25">
      <c r="A35" s="10"/>
      <c r="B35" s="28"/>
      <c r="C35" s="28"/>
      <c r="D35" s="28"/>
      <c r="E35" s="12"/>
    </row>
    <row r="36" spans="1:6" x14ac:dyDescent="0.25">
      <c r="A36" s="15"/>
      <c r="B36" s="29"/>
      <c r="C36" s="29"/>
      <c r="D36" s="29"/>
      <c r="E36" s="16"/>
    </row>
    <row r="37" spans="1:6" x14ac:dyDescent="0.25">
      <c r="A37" s="15"/>
      <c r="B37" s="29"/>
      <c r="C37" s="29"/>
      <c r="D37" s="29"/>
      <c r="E37" s="16"/>
    </row>
    <row r="38" spans="1:6" x14ac:dyDescent="0.25">
      <c r="A38" s="9" t="s">
        <v>33</v>
      </c>
      <c r="B38" s="26" t="s">
        <v>3</v>
      </c>
      <c r="C38" s="26" t="s">
        <v>7</v>
      </c>
      <c r="D38" s="26" t="s">
        <v>9</v>
      </c>
      <c r="E38" s="11" t="s">
        <v>61</v>
      </c>
    </row>
    <row r="39" spans="1:6" x14ac:dyDescent="0.25">
      <c r="A39" s="11" t="s">
        <v>57</v>
      </c>
      <c r="B39" s="26"/>
      <c r="C39" s="26"/>
      <c r="D39" s="26"/>
      <c r="E39" s="10"/>
    </row>
    <row r="40" spans="1:6" x14ac:dyDescent="0.25">
      <c r="A40" s="10" t="s">
        <v>4</v>
      </c>
      <c r="B40" s="27">
        <v>24156</v>
      </c>
      <c r="C40" s="27">
        <v>10266</v>
      </c>
      <c r="D40" s="27">
        <v>25968</v>
      </c>
      <c r="E40" s="12">
        <f>SUM(B40:D40)</f>
        <v>60390</v>
      </c>
    </row>
    <row r="41" spans="1:6" x14ac:dyDescent="0.25">
      <c r="A41" s="10" t="s">
        <v>5</v>
      </c>
      <c r="B41" s="27">
        <f>'Rent Market Project'!B5</f>
        <v>18.391693749999998</v>
      </c>
      <c r="C41" s="27">
        <f>23.5*((102.5%)^2)</f>
        <v>24.689687499999998</v>
      </c>
      <c r="D41" s="27">
        <f>22+2</f>
        <v>24</v>
      </c>
      <c r="E41" s="12">
        <f>SUM(B41:D41)</f>
        <v>67.081381249999993</v>
      </c>
    </row>
    <row r="42" spans="1:6" s="42" customFormat="1" x14ac:dyDescent="0.25">
      <c r="A42" s="10" t="s">
        <v>63</v>
      </c>
      <c r="B42" s="27">
        <f>B40*B41</f>
        <v>444269.75422499998</v>
      </c>
      <c r="C42" s="27">
        <f>C40*C41</f>
        <v>253464.33187499997</v>
      </c>
      <c r="D42" s="27">
        <f>D40*D41</f>
        <v>623232</v>
      </c>
      <c r="E42" s="12">
        <f>SUM(B42:D42)</f>
        <v>1320966.0861</v>
      </c>
    </row>
    <row r="43" spans="1:6" x14ac:dyDescent="0.25">
      <c r="A43" s="10"/>
      <c r="B43" s="27"/>
      <c r="C43" s="27"/>
      <c r="D43" s="27"/>
      <c r="E43" s="12"/>
    </row>
    <row r="44" spans="1:6" x14ac:dyDescent="0.25">
      <c r="A44" s="11" t="s">
        <v>58</v>
      </c>
      <c r="B44" s="27"/>
      <c r="C44" s="27"/>
      <c r="D44" s="27"/>
      <c r="E44" s="12"/>
    </row>
    <row r="45" spans="1:6" x14ac:dyDescent="0.25">
      <c r="A45" s="10" t="s">
        <v>59</v>
      </c>
      <c r="B45" s="28">
        <f>-8.5*((102.5%)^2)*25%*B40</f>
        <v>-53930.157187499994</v>
      </c>
      <c r="C45" s="28">
        <f>-8.5*((102.5%)^2)*25%*C40</f>
        <v>-22919.647031249999</v>
      </c>
      <c r="D45" s="28">
        <f>-8.5*((102.5%)^2)*25%*D40</f>
        <v>-57975.588749999995</v>
      </c>
      <c r="E45" s="13">
        <f>-8.5*((102.5%)^2)*25%*E40</f>
        <v>-134825.39296875001</v>
      </c>
      <c r="F45" s="36"/>
    </row>
    <row r="46" spans="1:6" x14ac:dyDescent="0.25">
      <c r="A46" s="10" t="s">
        <v>62</v>
      </c>
      <c r="B46" s="28">
        <f>-5%*B42</f>
        <v>-22213.48771125</v>
      </c>
      <c r="C46" s="28">
        <f>-5%*C42</f>
        <v>-12673.216593749999</v>
      </c>
      <c r="D46" s="28">
        <f>-5%*D42</f>
        <v>-31161.600000000002</v>
      </c>
      <c r="E46" s="13">
        <f>-5%*E42</f>
        <v>-66048.304304999998</v>
      </c>
    </row>
    <row r="47" spans="1:6" x14ac:dyDescent="0.25">
      <c r="A47" s="10" t="s">
        <v>69</v>
      </c>
      <c r="B47" s="28">
        <v>-50000</v>
      </c>
      <c r="C47" s="28">
        <v>-50000</v>
      </c>
      <c r="D47" s="28">
        <v>-50000</v>
      </c>
      <c r="E47" s="12">
        <f>SUM(B47:D47)</f>
        <v>-150000</v>
      </c>
    </row>
    <row r="48" spans="1:6" x14ac:dyDescent="0.25">
      <c r="A48" s="10" t="s">
        <v>80</v>
      </c>
      <c r="B48" s="28"/>
      <c r="C48" s="28"/>
      <c r="D48" s="28"/>
      <c r="E48" s="12">
        <f>-'Building Purchase&amp;Depreciation'!B10</f>
        <v>-42753.383723646009</v>
      </c>
    </row>
    <row r="49" spans="1:5" x14ac:dyDescent="0.25">
      <c r="A49" s="10" t="s">
        <v>64</v>
      </c>
      <c r="B49" s="28"/>
      <c r="C49" s="28"/>
      <c r="D49" s="28"/>
      <c r="E49" s="12">
        <f>SUM(E45:E48)</f>
        <v>-393627.08099739597</v>
      </c>
    </row>
    <row r="50" spans="1:5" x14ac:dyDescent="0.25">
      <c r="A50" s="10"/>
      <c r="B50" s="28"/>
      <c r="C50" s="28"/>
      <c r="D50" s="28"/>
      <c r="E50" s="12"/>
    </row>
    <row r="51" spans="1:5" x14ac:dyDescent="0.25">
      <c r="A51" s="14" t="s">
        <v>60</v>
      </c>
      <c r="B51" s="28"/>
      <c r="C51" s="28"/>
      <c r="D51" s="28"/>
      <c r="E51" s="12">
        <f>E42+E49</f>
        <v>927339.00510260393</v>
      </c>
    </row>
    <row r="52" spans="1:5" x14ac:dyDescent="0.25">
      <c r="A52" s="15"/>
      <c r="B52" s="28"/>
      <c r="C52" s="28"/>
      <c r="D52" s="28"/>
      <c r="E52" s="12"/>
    </row>
    <row r="53" spans="1:5" x14ac:dyDescent="0.25">
      <c r="A53" s="10"/>
      <c r="B53" s="28"/>
      <c r="C53" s="28"/>
      <c r="D53" s="28"/>
      <c r="E53" s="12"/>
    </row>
    <row r="54" spans="1:5" x14ac:dyDescent="0.25">
      <c r="A54" s="15"/>
      <c r="B54" s="29"/>
      <c r="C54" s="29"/>
      <c r="D54" s="29"/>
      <c r="E54" s="16"/>
    </row>
    <row r="55" spans="1:5" x14ac:dyDescent="0.25">
      <c r="A55" s="15"/>
      <c r="B55" s="29"/>
      <c r="C55" s="29"/>
      <c r="D55" s="29"/>
      <c r="E55" s="16"/>
    </row>
    <row r="56" spans="1:5" x14ac:dyDescent="0.25">
      <c r="A56" s="9" t="s">
        <v>34</v>
      </c>
      <c r="B56" s="26" t="s">
        <v>3</v>
      </c>
      <c r="C56" s="26" t="s">
        <v>7</v>
      </c>
      <c r="D56" s="26" t="s">
        <v>9</v>
      </c>
      <c r="E56" s="11" t="s">
        <v>61</v>
      </c>
    </row>
    <row r="57" spans="1:5" x14ac:dyDescent="0.25">
      <c r="A57" s="11" t="s">
        <v>57</v>
      </c>
      <c r="B57" s="26"/>
      <c r="C57" s="26"/>
      <c r="D57" s="26"/>
      <c r="E57" s="10"/>
    </row>
    <row r="58" spans="1:5" x14ac:dyDescent="0.25">
      <c r="A58" s="10" t="s">
        <v>4</v>
      </c>
      <c r="B58" s="27">
        <v>24156</v>
      </c>
      <c r="C58" s="27">
        <v>10266</v>
      </c>
      <c r="D58" s="27">
        <v>25968</v>
      </c>
      <c r="E58" s="12">
        <f>SUM(B58:D58)</f>
        <v>60390</v>
      </c>
    </row>
    <row r="59" spans="1:5" x14ac:dyDescent="0.25">
      <c r="A59" s="10" t="s">
        <v>5</v>
      </c>
      <c r="B59" s="27">
        <f>'Rent Market Project'!B6</f>
        <v>17.747984468749998</v>
      </c>
      <c r="C59" s="27">
        <f>23.5*((102.5%)^3)</f>
        <v>25.306929687499998</v>
      </c>
      <c r="D59" s="27">
        <f>22+2+2</f>
        <v>26</v>
      </c>
      <c r="E59" s="12">
        <f>SUM(B59:D59)</f>
        <v>69.054914156249993</v>
      </c>
    </row>
    <row r="60" spans="1:5" x14ac:dyDescent="0.25">
      <c r="A60" s="10" t="s">
        <v>63</v>
      </c>
      <c r="B60" s="27">
        <f>B58*B59</f>
        <v>428720.31282712496</v>
      </c>
      <c r="C60" s="27">
        <f>C58*C59</f>
        <v>259800.94017187497</v>
      </c>
      <c r="D60" s="27">
        <f>D58*D59</f>
        <v>675168</v>
      </c>
      <c r="E60" s="12">
        <f>SUM(B60:D60)</f>
        <v>1363689.2529989998</v>
      </c>
    </row>
    <row r="61" spans="1:5" x14ac:dyDescent="0.25">
      <c r="A61" s="10"/>
      <c r="B61" s="27"/>
      <c r="C61" s="27"/>
      <c r="D61" s="27"/>
      <c r="E61" s="12"/>
    </row>
    <row r="62" spans="1:5" x14ac:dyDescent="0.25">
      <c r="A62" s="11" t="s">
        <v>58</v>
      </c>
      <c r="B62" s="27"/>
      <c r="C62" s="27"/>
      <c r="D62" s="27"/>
      <c r="E62" s="12"/>
    </row>
    <row r="63" spans="1:5" x14ac:dyDescent="0.25">
      <c r="A63" s="10" t="s">
        <v>59</v>
      </c>
      <c r="B63" s="28">
        <f>-8.5*((102.5%)^3)*25%*B58</f>
        <v>-55278.411117187497</v>
      </c>
      <c r="C63" s="28">
        <f>-8.5*((102.5%)^3)*25%*C58</f>
        <v>-23492.63820703125</v>
      </c>
      <c r="D63" s="28">
        <f>-8.5*((102.5%)^3)*25%*D58</f>
        <v>-59424.97846875</v>
      </c>
      <c r="E63" s="13">
        <f>-8.5*((102.5%)^3)*25%*E58</f>
        <v>-138196.02779296873</v>
      </c>
    </row>
    <row r="64" spans="1:5" x14ac:dyDescent="0.25">
      <c r="A64" s="10" t="s">
        <v>62</v>
      </c>
      <c r="B64" s="28">
        <f>-5%*B60</f>
        <v>-21436.015641356251</v>
      </c>
      <c r="C64" s="28">
        <f>-5%*C60</f>
        <v>-12990.047008593749</v>
      </c>
      <c r="D64" s="28">
        <f>-5%*D60</f>
        <v>-33758.400000000001</v>
      </c>
      <c r="E64" s="13">
        <f>-5%*E60</f>
        <v>-68184.462649949986</v>
      </c>
    </row>
    <row r="65" spans="1:6" x14ac:dyDescent="0.25">
      <c r="A65" s="10" t="s">
        <v>80</v>
      </c>
      <c r="B65" s="28"/>
      <c r="C65" s="28"/>
      <c r="D65" s="28"/>
      <c r="E65" s="12">
        <f>-'Building Purchase&amp;Depreciation'!B10</f>
        <v>-42753.383723646009</v>
      </c>
    </row>
    <row r="66" spans="1:6" x14ac:dyDescent="0.25">
      <c r="A66" s="10" t="s">
        <v>64</v>
      </c>
      <c r="B66" s="28"/>
      <c r="C66" s="28"/>
      <c r="D66" s="28"/>
      <c r="E66" s="12">
        <f>SUM(E63:E65)</f>
        <v>-249133.87416656472</v>
      </c>
    </row>
    <row r="67" spans="1:6" x14ac:dyDescent="0.25">
      <c r="A67" s="10"/>
      <c r="B67" s="28"/>
      <c r="C67" s="28"/>
      <c r="D67" s="28"/>
      <c r="E67" s="12"/>
    </row>
    <row r="68" spans="1:6" x14ac:dyDescent="0.25">
      <c r="A68" s="14" t="s">
        <v>60</v>
      </c>
      <c r="B68" s="28"/>
      <c r="C68" s="28"/>
      <c r="D68" s="28"/>
      <c r="E68" s="12">
        <f>E60+E66</f>
        <v>1114555.378832435</v>
      </c>
    </row>
    <row r="69" spans="1:6" x14ac:dyDescent="0.25">
      <c r="A69" s="15"/>
      <c r="B69" s="28"/>
      <c r="C69" s="28"/>
      <c r="D69" s="28"/>
      <c r="E69" s="12"/>
    </row>
    <row r="70" spans="1:6" x14ac:dyDescent="0.25">
      <c r="A70" s="10"/>
      <c r="B70" s="28"/>
      <c r="C70" s="28"/>
      <c r="D70" s="28"/>
      <c r="E70" s="12"/>
    </row>
    <row r="71" spans="1:6" x14ac:dyDescent="0.25">
      <c r="A71" s="15"/>
      <c r="B71" s="29"/>
      <c r="C71" s="29"/>
      <c r="D71" s="29"/>
      <c r="E71" s="16"/>
    </row>
    <row r="72" spans="1:6" x14ac:dyDescent="0.25">
      <c r="A72" s="15"/>
      <c r="B72" s="29"/>
      <c r="C72" s="29"/>
      <c r="D72" s="29"/>
      <c r="E72" s="16"/>
    </row>
    <row r="73" spans="1:6" x14ac:dyDescent="0.25">
      <c r="A73" s="9" t="s">
        <v>35</v>
      </c>
      <c r="B73" s="26" t="s">
        <v>3</v>
      </c>
      <c r="C73" s="26" t="s">
        <v>7</v>
      </c>
      <c r="D73" s="26" t="s">
        <v>9</v>
      </c>
      <c r="E73" s="11" t="s">
        <v>61</v>
      </c>
    </row>
    <row r="74" spans="1:6" x14ac:dyDescent="0.25">
      <c r="A74" s="11" t="s">
        <v>57</v>
      </c>
      <c r="B74" s="26"/>
      <c r="C74" s="26"/>
      <c r="D74" s="26"/>
      <c r="E74" s="10"/>
    </row>
    <row r="75" spans="1:6" x14ac:dyDescent="0.25">
      <c r="A75" s="10" t="s">
        <v>4</v>
      </c>
      <c r="B75" s="27">
        <v>24156</v>
      </c>
      <c r="C75" s="27">
        <v>10266</v>
      </c>
      <c r="D75" s="27">
        <v>25968</v>
      </c>
      <c r="E75" s="12">
        <f>SUM(B75:D75)</f>
        <v>60390</v>
      </c>
    </row>
    <row r="76" spans="1:6" x14ac:dyDescent="0.25">
      <c r="A76" s="10" t="s">
        <v>5</v>
      </c>
      <c r="B76" s="27">
        <f>'Rent Market Project'!B7</f>
        <v>18.191684080468747</v>
      </c>
      <c r="C76" s="27">
        <f>'Rent Market Project'!B7</f>
        <v>18.191684080468747</v>
      </c>
      <c r="D76" s="27">
        <f>22+2+2</f>
        <v>26</v>
      </c>
      <c r="E76" s="12">
        <f>SUM(B76:D76)</f>
        <v>62.383368160937493</v>
      </c>
    </row>
    <row r="77" spans="1:6" x14ac:dyDescent="0.25">
      <c r="A77" s="10" t="s">
        <v>63</v>
      </c>
      <c r="B77" s="27">
        <f>B75*B76</f>
        <v>439438.32064780302</v>
      </c>
      <c r="C77" s="27">
        <f>C75*C76</f>
        <v>186755.82877009216</v>
      </c>
      <c r="D77" s="27">
        <f>D75*D76</f>
        <v>675168</v>
      </c>
      <c r="E77" s="12">
        <f>SUM(B77:D77)</f>
        <v>1301362.1494178951</v>
      </c>
      <c r="F77" s="37"/>
    </row>
    <row r="78" spans="1:6" x14ac:dyDescent="0.25">
      <c r="A78" s="10"/>
      <c r="B78" s="27"/>
      <c r="C78" s="27"/>
      <c r="D78" s="27"/>
      <c r="E78" s="12"/>
    </row>
    <row r="79" spans="1:6" x14ac:dyDescent="0.25">
      <c r="A79" s="11" t="s">
        <v>58</v>
      </c>
      <c r="B79" s="27"/>
      <c r="C79" s="27"/>
      <c r="D79" s="27"/>
      <c r="E79" s="12"/>
    </row>
    <row r="80" spans="1:6" x14ac:dyDescent="0.25">
      <c r="A80" s="10" t="s">
        <v>59</v>
      </c>
      <c r="B80" s="28">
        <f>-8.5*((102.5%)^4)*25%*B75</f>
        <v>-56660.371395117181</v>
      </c>
      <c r="C80" s="28">
        <f>-8.5*((102.5%)^4)*25%*C75</f>
        <v>-24079.954162207028</v>
      </c>
      <c r="D80" s="28">
        <f>-8.5*((102.5%)^4)*25%*D75</f>
        <v>-60910.60293046874</v>
      </c>
      <c r="E80" s="13">
        <f>-8.5*((102.5%)^4)*25%*E75</f>
        <v>-141650.92848779296</v>
      </c>
    </row>
    <row r="81" spans="1:5" x14ac:dyDescent="0.25">
      <c r="A81" s="10" t="s">
        <v>62</v>
      </c>
      <c r="B81" s="28">
        <f>-10%*B77</f>
        <v>-43943.832064780305</v>
      </c>
      <c r="C81" s="28">
        <f>-10%*C77</f>
        <v>-18675.582877009216</v>
      </c>
      <c r="D81" s="28">
        <f>-10%*D77</f>
        <v>-67516.800000000003</v>
      </c>
      <c r="E81" s="13">
        <f>-10%*E77</f>
        <v>-130136.21494178951</v>
      </c>
    </row>
    <row r="82" spans="1:5" x14ac:dyDescent="0.25">
      <c r="A82" s="10" t="s">
        <v>80</v>
      </c>
      <c r="B82" s="28"/>
      <c r="C82" s="28"/>
      <c r="D82" s="28"/>
      <c r="E82" s="13">
        <f>-'Building Purchase&amp;Depreciation'!B10</f>
        <v>-42753.383723646009</v>
      </c>
    </row>
    <row r="83" spans="1:5" x14ac:dyDescent="0.25">
      <c r="A83" s="10" t="s">
        <v>64</v>
      </c>
      <c r="B83" s="28"/>
      <c r="C83" s="28"/>
      <c r="D83" s="28"/>
      <c r="E83" s="12">
        <f>SUM(E80:E82)</f>
        <v>-314540.52715322847</v>
      </c>
    </row>
    <row r="84" spans="1:5" x14ac:dyDescent="0.25">
      <c r="A84" s="10"/>
      <c r="B84" s="28"/>
      <c r="C84" s="28"/>
      <c r="D84" s="28"/>
      <c r="E84" s="12"/>
    </row>
    <row r="85" spans="1:5" x14ac:dyDescent="0.25">
      <c r="A85" s="14" t="s">
        <v>60</v>
      </c>
      <c r="B85" s="28"/>
      <c r="C85" s="28"/>
      <c r="D85" s="28"/>
      <c r="E85" s="12">
        <f>E77+E83</f>
        <v>986821.62226466672</v>
      </c>
    </row>
    <row r="86" spans="1:5" x14ac:dyDescent="0.25">
      <c r="A86" s="15"/>
      <c r="B86" s="28"/>
      <c r="C86" s="28"/>
      <c r="D86" s="28"/>
      <c r="E86" s="12"/>
    </row>
    <row r="87" spans="1:5" x14ac:dyDescent="0.25">
      <c r="A87" s="10"/>
      <c r="B87" s="28"/>
      <c r="C87" s="28"/>
      <c r="D87" s="28"/>
      <c r="E87" s="12"/>
    </row>
    <row r="88" spans="1:5" x14ac:dyDescent="0.25">
      <c r="A88" s="15"/>
      <c r="B88" s="29"/>
      <c r="C88" s="29"/>
      <c r="D88" s="29"/>
      <c r="E88" s="16"/>
    </row>
    <row r="89" spans="1:5" x14ac:dyDescent="0.25">
      <c r="A89" s="15"/>
      <c r="B89" s="29"/>
      <c r="C89" s="29"/>
      <c r="D89" s="29"/>
      <c r="E89" s="16"/>
    </row>
    <row r="90" spans="1:5" x14ac:dyDescent="0.25">
      <c r="A90" s="9" t="s">
        <v>36</v>
      </c>
      <c r="B90" s="26" t="s">
        <v>3</v>
      </c>
      <c r="C90" s="26" t="s">
        <v>7</v>
      </c>
      <c r="D90" s="26" t="s">
        <v>9</v>
      </c>
      <c r="E90" s="11" t="s">
        <v>61</v>
      </c>
    </row>
    <row r="91" spans="1:5" x14ac:dyDescent="0.25">
      <c r="A91" s="11" t="s">
        <v>57</v>
      </c>
      <c r="B91" s="26"/>
      <c r="C91" s="26"/>
      <c r="D91" s="26"/>
      <c r="E91" s="10"/>
    </row>
    <row r="92" spans="1:5" x14ac:dyDescent="0.25">
      <c r="A92" s="10" t="s">
        <v>4</v>
      </c>
      <c r="B92" s="27">
        <v>24156</v>
      </c>
      <c r="C92" s="27">
        <v>10266</v>
      </c>
      <c r="D92" s="27">
        <v>25968</v>
      </c>
      <c r="E92" s="12">
        <f>SUM(B92:D92)</f>
        <v>60390</v>
      </c>
    </row>
    <row r="93" spans="1:5" x14ac:dyDescent="0.25">
      <c r="A93" s="10" t="s">
        <v>5</v>
      </c>
      <c r="B93" s="27">
        <f>'Rent Market Project'!B8</f>
        <v>18.646476182480463</v>
      </c>
      <c r="C93" s="27">
        <f>'Rent Market Project'!B8</f>
        <v>18.646476182480463</v>
      </c>
      <c r="D93" s="27">
        <f>22+2+2</f>
        <v>26</v>
      </c>
      <c r="E93" s="12">
        <f>SUM(B93:D93)</f>
        <v>63.292952364960925</v>
      </c>
    </row>
    <row r="94" spans="1:5" x14ac:dyDescent="0.25">
      <c r="A94" s="10" t="s">
        <v>63</v>
      </c>
      <c r="B94" s="27">
        <f>B92*B93</f>
        <v>450424.27866399806</v>
      </c>
      <c r="C94" s="27">
        <f>C92*C93</f>
        <v>191424.72448934443</v>
      </c>
      <c r="D94" s="27">
        <f>D92*D93</f>
        <v>675168</v>
      </c>
      <c r="E94" s="12">
        <f>SUM(B94:D94)</f>
        <v>1317017.0031533425</v>
      </c>
    </row>
    <row r="95" spans="1:5" x14ac:dyDescent="0.25">
      <c r="A95" s="10"/>
      <c r="B95" s="27"/>
      <c r="C95" s="27"/>
      <c r="D95" s="27"/>
      <c r="E95" s="12"/>
    </row>
    <row r="96" spans="1:5" x14ac:dyDescent="0.25">
      <c r="A96" s="11" t="s">
        <v>58</v>
      </c>
      <c r="B96" s="27"/>
      <c r="C96" s="27"/>
      <c r="D96" s="27"/>
      <c r="E96" s="12"/>
    </row>
    <row r="97" spans="1:5" x14ac:dyDescent="0.25">
      <c r="A97" s="10" t="s">
        <v>59</v>
      </c>
      <c r="B97" s="28">
        <f>-8.5*((102.5%)^5)*25%*B92</f>
        <v>-58076.880679995105</v>
      </c>
      <c r="C97" s="28">
        <f>-8.5*((102.5%)^5)*25%*C92</f>
        <v>-24681.953016262203</v>
      </c>
      <c r="D97" s="28">
        <f>-8.5*((102.5%)^5)*25%*D92</f>
        <v>-62433.368003730458</v>
      </c>
      <c r="E97" s="13">
        <f>-8.5*((102.5%)^5)*25%*E92</f>
        <v>-145192.20169998775</v>
      </c>
    </row>
    <row r="98" spans="1:5" x14ac:dyDescent="0.25">
      <c r="A98" s="10" t="s">
        <v>62</v>
      </c>
      <c r="B98" s="28">
        <f>-10%*B94</f>
        <v>-45042.427866399812</v>
      </c>
      <c r="C98" s="28">
        <f>-10%*C94</f>
        <v>-19142.472448934444</v>
      </c>
      <c r="D98" s="28">
        <f>-10%*D94</f>
        <v>-67516.800000000003</v>
      </c>
      <c r="E98" s="13">
        <f>-10%*E94</f>
        <v>-131701.70031533425</v>
      </c>
    </row>
    <row r="99" spans="1:5" x14ac:dyDescent="0.25">
      <c r="A99" s="10" t="s">
        <v>80</v>
      </c>
      <c r="B99" s="28"/>
      <c r="C99" s="28"/>
      <c r="D99" s="28"/>
      <c r="E99" s="12">
        <f>-'Building Purchase&amp;Depreciation'!B10</f>
        <v>-42753.383723646009</v>
      </c>
    </row>
    <row r="100" spans="1:5" x14ac:dyDescent="0.25">
      <c r="A100" s="10" t="s">
        <v>64</v>
      </c>
      <c r="B100" s="28"/>
      <c r="C100" s="28"/>
      <c r="D100" s="28"/>
      <c r="E100" s="12">
        <f>SUM(E97:E99)</f>
        <v>-319647.285738968</v>
      </c>
    </row>
    <row r="101" spans="1:5" x14ac:dyDescent="0.25">
      <c r="A101" s="10"/>
      <c r="B101" s="28"/>
      <c r="C101" s="28"/>
      <c r="D101" s="28"/>
      <c r="E101" s="12"/>
    </row>
    <row r="102" spans="1:5" x14ac:dyDescent="0.25">
      <c r="A102" s="14" t="s">
        <v>60</v>
      </c>
      <c r="B102" s="28"/>
      <c r="C102" s="28"/>
      <c r="D102" s="28"/>
      <c r="E102" s="12">
        <f>E94+E100</f>
        <v>997369.71741437446</v>
      </c>
    </row>
    <row r="103" spans="1:5" x14ac:dyDescent="0.25">
      <c r="A103" s="15"/>
      <c r="B103" s="28"/>
      <c r="C103" s="28"/>
      <c r="D103" s="28"/>
      <c r="E103" s="12"/>
    </row>
    <row r="104" spans="1:5" x14ac:dyDescent="0.25">
      <c r="A104" s="10"/>
      <c r="B104" s="28"/>
      <c r="C104" s="28"/>
      <c r="D104" s="28"/>
      <c r="E104" s="12"/>
    </row>
    <row r="105" spans="1:5" x14ac:dyDescent="0.25">
      <c r="A105" s="15"/>
      <c r="B105" s="29"/>
      <c r="C105" s="29"/>
      <c r="D105" s="29"/>
      <c r="E105" s="16"/>
    </row>
    <row r="106" spans="1:5" x14ac:dyDescent="0.25">
      <c r="A106" s="1"/>
      <c r="B106" s="18"/>
      <c r="C106" s="18"/>
      <c r="D106" s="18"/>
      <c r="E106" s="1"/>
    </row>
    <row r="107" spans="1:5" x14ac:dyDescent="0.25">
      <c r="A107" s="1"/>
      <c r="B107" s="31"/>
      <c r="C107" s="31"/>
      <c r="D107" s="31"/>
      <c r="E107" s="4"/>
    </row>
    <row r="108" spans="1:5" x14ac:dyDescent="0.25">
      <c r="A108" s="1"/>
      <c r="B108" s="38"/>
      <c r="C108" s="31"/>
      <c r="D108" s="31"/>
      <c r="E108" s="4"/>
    </row>
    <row r="109" spans="1:5" x14ac:dyDescent="0.25">
      <c r="A109" s="1"/>
      <c r="B109" s="31"/>
      <c r="C109" s="31"/>
      <c r="D109" s="31"/>
      <c r="E109" s="4"/>
    </row>
    <row r="110" spans="1:5" x14ac:dyDescent="0.25">
      <c r="A110" s="1"/>
      <c r="B110" s="31"/>
      <c r="C110" s="31"/>
      <c r="D110" s="31"/>
      <c r="E110" s="4"/>
    </row>
    <row r="111" spans="1:5" x14ac:dyDescent="0.25">
      <c r="A111" s="1"/>
      <c r="B111" s="31"/>
      <c r="C111" s="31"/>
      <c r="D111" s="31"/>
      <c r="E111" s="4"/>
    </row>
    <row r="112" spans="1:5" x14ac:dyDescent="0.25">
      <c r="A112" s="1"/>
      <c r="B112" s="31"/>
      <c r="C112" s="32"/>
      <c r="D112" s="18"/>
      <c r="E112" s="1"/>
    </row>
    <row r="113" spans="1:5" x14ac:dyDescent="0.25">
      <c r="A113" s="1"/>
      <c r="B113" s="30"/>
      <c r="C113" s="30"/>
      <c r="D113" s="30"/>
      <c r="E113" s="5"/>
    </row>
    <row r="114" spans="1:5" x14ac:dyDescent="0.25">
      <c r="A114" s="1"/>
      <c r="B114" s="18"/>
      <c r="C114" s="32"/>
      <c r="D114" s="18"/>
      <c r="E114" s="1"/>
    </row>
    <row r="115" spans="1:5" x14ac:dyDescent="0.25">
      <c r="A115" s="1"/>
      <c r="B115" s="30"/>
      <c r="C115" s="30"/>
      <c r="D115" s="30"/>
      <c r="E115" s="5"/>
    </row>
    <row r="116" spans="1:5" x14ac:dyDescent="0.25">
      <c r="A116" s="1"/>
      <c r="B116" s="18"/>
      <c r="C116" s="18"/>
      <c r="D116" s="30"/>
      <c r="E116" s="5"/>
    </row>
    <row r="117" spans="1:5" x14ac:dyDescent="0.25">
      <c r="A117" s="1"/>
      <c r="B117" s="30"/>
      <c r="C117" s="30"/>
      <c r="D117" s="30"/>
      <c r="E117" s="5"/>
    </row>
    <row r="118" spans="1:5" x14ac:dyDescent="0.25">
      <c r="A118" s="1"/>
      <c r="B118" s="18"/>
      <c r="C118" s="18"/>
      <c r="D118" s="18"/>
      <c r="E11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17" zoomScaleNormal="100" workbookViewId="0">
      <selection activeCell="I39" sqref="I39"/>
    </sheetView>
  </sheetViews>
  <sheetFormatPr defaultColWidth="12.28515625" defaultRowHeight="15" x14ac:dyDescent="0.25"/>
  <cols>
    <col min="1" max="1" width="26" style="46" customWidth="1"/>
    <col min="2" max="2" width="20.140625" style="46" customWidth="1"/>
    <col min="3" max="3" width="17.42578125" style="46" customWidth="1"/>
    <col min="4" max="6" width="15.28515625" style="46" bestFit="1" customWidth="1"/>
    <col min="7" max="7" width="15.42578125" style="46" bestFit="1" customWidth="1"/>
    <col min="8" max="8" width="13.28515625" style="46" bestFit="1" customWidth="1"/>
    <col min="9" max="9" width="14.28515625" style="46" bestFit="1" customWidth="1"/>
    <col min="10" max="16384" width="12.28515625" style="46"/>
  </cols>
  <sheetData>
    <row r="1" spans="1:8" s="45" customFormat="1" ht="12.75" x14ac:dyDescent="0.2">
      <c r="A1" s="45" t="s">
        <v>70</v>
      </c>
      <c r="B1" s="45">
        <v>1</v>
      </c>
      <c r="C1" s="45">
        <v>2</v>
      </c>
      <c r="D1" s="45">
        <v>3</v>
      </c>
      <c r="E1" s="45">
        <v>4</v>
      </c>
      <c r="F1" s="45">
        <v>5</v>
      </c>
      <c r="G1" s="45">
        <v>6</v>
      </c>
    </row>
    <row r="2" spans="1:8" x14ac:dyDescent="0.25">
      <c r="A2" s="45" t="s">
        <v>81</v>
      </c>
    </row>
    <row r="3" spans="1:8" x14ac:dyDescent="0.25">
      <c r="A3" s="47" t="s">
        <v>82</v>
      </c>
      <c r="B3" s="52">
        <f>'Yearly Cashflow'!E8</f>
        <v>1416447</v>
      </c>
      <c r="C3" s="52">
        <f>'Yearly Cashflow'!E25</f>
        <v>1474414.2749999999</v>
      </c>
      <c r="D3" s="52">
        <f>'Yearly Cashflow'!E42</f>
        <v>1320966.0861</v>
      </c>
      <c r="E3" s="52">
        <f>'Yearly Cashflow'!E60</f>
        <v>1363689.2529989998</v>
      </c>
      <c r="F3" s="52">
        <f>'Yearly Cashflow'!E77</f>
        <v>1301362.1494178951</v>
      </c>
      <c r="G3" s="52">
        <f>'Yearly Cashflow'!E94</f>
        <v>1317017.0031533425</v>
      </c>
    </row>
    <row r="4" spans="1:8" x14ac:dyDescent="0.25">
      <c r="A4" s="47" t="s">
        <v>83</v>
      </c>
      <c r="B4" s="47">
        <v>0</v>
      </c>
      <c r="C4" s="47">
        <v>0</v>
      </c>
      <c r="D4" s="52">
        <f>'Yearly Cashflow'!E46</f>
        <v>-66048.304304999998</v>
      </c>
      <c r="E4" s="52">
        <f>'Yearly Cashflow'!E64</f>
        <v>-68184.462649949986</v>
      </c>
      <c r="F4" s="52">
        <f>'Yearly Cashflow'!E81</f>
        <v>-130136.21494178951</v>
      </c>
      <c r="G4" s="52">
        <f>'Yearly Cashflow'!E98</f>
        <v>-131701.70031533425</v>
      </c>
    </row>
    <row r="5" spans="1:8" x14ac:dyDescent="0.25">
      <c r="A5" s="47" t="s">
        <v>84</v>
      </c>
      <c r="B5" s="52">
        <f>B3-B4</f>
        <v>1416447</v>
      </c>
      <c r="C5" s="52">
        <f>C3-C4</f>
        <v>1474414.2749999999</v>
      </c>
      <c r="D5" s="52">
        <f>D3+D4</f>
        <v>1254917.781795</v>
      </c>
      <c r="E5" s="52">
        <f>E3+E4</f>
        <v>1295504.7903490497</v>
      </c>
      <c r="F5" s="52">
        <f>F3+F4</f>
        <v>1171225.9344761055</v>
      </c>
      <c r="G5" s="52">
        <f>G3+G4</f>
        <v>1185315.3028380084</v>
      </c>
    </row>
    <row r="6" spans="1:8" s="75" customFormat="1" x14ac:dyDescent="0.25">
      <c r="A6" s="54" t="s">
        <v>85</v>
      </c>
      <c r="B6" s="74">
        <f>'Yearly Cashflow'!E11</f>
        <v>-128328.75</v>
      </c>
      <c r="C6" s="74">
        <f>'Yearly Cashflow'!E28</f>
        <v>-131536.96874999997</v>
      </c>
      <c r="D6" s="74">
        <f>'Yearly Cashflow'!E45</f>
        <v>-134825.39296875001</v>
      </c>
      <c r="E6" s="74">
        <f>'Yearly Cashflow'!E63</f>
        <v>-138196.02779296873</v>
      </c>
      <c r="F6" s="74">
        <f>'Yearly Cashflow'!E80</f>
        <v>-141650.92848779296</v>
      </c>
      <c r="G6" s="74">
        <f>'Yearly Cashflow'!E97</f>
        <v>-145192.20169998775</v>
      </c>
    </row>
    <row r="7" spans="1:8" x14ac:dyDescent="0.25">
      <c r="A7" s="47" t="s">
        <v>110</v>
      </c>
      <c r="B7" s="52">
        <f>'Yearly Cashflow'!E12</f>
        <v>-150000</v>
      </c>
      <c r="C7" s="52">
        <f>'Yearly Cashflow'!E29</f>
        <v>-150000</v>
      </c>
      <c r="D7" s="52">
        <f>'Yearly Cashflow'!E47</f>
        <v>-150000</v>
      </c>
      <c r="E7" s="52" t="s">
        <v>67</v>
      </c>
      <c r="F7" s="47" t="s">
        <v>67</v>
      </c>
      <c r="G7" s="47" t="s">
        <v>67</v>
      </c>
    </row>
    <row r="8" spans="1:8" s="48" customFormat="1" x14ac:dyDescent="0.25">
      <c r="A8" s="51" t="s">
        <v>86</v>
      </c>
      <c r="B8" s="53">
        <f>SUM(B5:B7)</f>
        <v>1138118.25</v>
      </c>
      <c r="C8" s="53">
        <f>SUM(C5:C7)</f>
        <v>1192877.3062499999</v>
      </c>
      <c r="D8" s="53">
        <f>SUM(D5:D7)</f>
        <v>970092.38882624987</v>
      </c>
      <c r="E8" s="53">
        <f>SUM(E5:E7)</f>
        <v>1157308.7625560809</v>
      </c>
      <c r="F8" s="53">
        <f>SUM(F5:F7)</f>
        <v>1029575.0059883125</v>
      </c>
      <c r="G8" s="52">
        <f>SUM(G5:G6)</f>
        <v>1040123.1011380206</v>
      </c>
    </row>
    <row r="9" spans="1:8" s="75" customFormat="1" x14ac:dyDescent="0.25">
      <c r="A9" s="54" t="s">
        <v>87</v>
      </c>
      <c r="B9" s="74">
        <f>'Yearly Cashflow'!E13*12</f>
        <v>-513040.60468375211</v>
      </c>
      <c r="C9" s="74">
        <f>'Yearly Cashflow'!E30*12</f>
        <v>-513040.60468375211</v>
      </c>
      <c r="D9" s="74">
        <f>'Yearly Cashflow'!E48*12</f>
        <v>-513040.60468375211</v>
      </c>
      <c r="E9" s="74">
        <f>'Yearly Cashflow'!E65*12</f>
        <v>-513040.60468375211</v>
      </c>
      <c r="F9" s="74">
        <f>'Yearly Cashflow'!E82*12</f>
        <v>-513040.60468375211</v>
      </c>
      <c r="G9" s="74"/>
    </row>
    <row r="10" spans="1:8" x14ac:dyDescent="0.25">
      <c r="A10" s="47" t="s">
        <v>88</v>
      </c>
      <c r="B10" s="52">
        <f t="shared" ref="B10:F10" si="0">B8+B9</f>
        <v>625077.64531624783</v>
      </c>
      <c r="C10" s="52">
        <f t="shared" si="0"/>
        <v>679836.70156624774</v>
      </c>
      <c r="D10" s="52">
        <f t="shared" si="0"/>
        <v>457051.78414249775</v>
      </c>
      <c r="E10" s="52">
        <f t="shared" si="0"/>
        <v>644268.15787232877</v>
      </c>
      <c r="F10" s="52">
        <f t="shared" si="0"/>
        <v>516534.40130456042</v>
      </c>
      <c r="G10" s="66"/>
    </row>
    <row r="11" spans="1:8" x14ac:dyDescent="0.25">
      <c r="A11" s="47" t="s">
        <v>89</v>
      </c>
      <c r="B11" s="52">
        <f t="shared" ref="B11:F11" si="1">-B19</f>
        <v>-213823.12572649869</v>
      </c>
      <c r="C11" s="52">
        <f t="shared" si="1"/>
        <v>-217106.59170123513</v>
      </c>
      <c r="D11" s="52">
        <f t="shared" si="1"/>
        <v>-152599.18647587125</v>
      </c>
      <c r="E11" s="52">
        <f t="shared" si="1"/>
        <v>-228092.23315426076</v>
      </c>
      <c r="F11" s="52">
        <f t="shared" si="1"/>
        <v>-196852.73422849033</v>
      </c>
      <c r="G11" s="66"/>
    </row>
    <row r="12" spans="1:8" x14ac:dyDescent="0.25">
      <c r="A12" s="47" t="s">
        <v>90</v>
      </c>
      <c r="B12" s="52">
        <f t="shared" ref="B12:F12" si="2">B10+B11</f>
        <v>411254.51958974916</v>
      </c>
      <c r="C12" s="52">
        <f t="shared" si="2"/>
        <v>462730.10986501258</v>
      </c>
      <c r="D12" s="52">
        <f t="shared" si="2"/>
        <v>304452.59766662651</v>
      </c>
      <c r="E12" s="52">
        <f t="shared" si="2"/>
        <v>416175.92471806798</v>
      </c>
      <c r="F12" s="52">
        <f t="shared" si="2"/>
        <v>319681.66707607009</v>
      </c>
      <c r="G12" s="66"/>
      <c r="H12" s="64"/>
    </row>
    <row r="14" spans="1:8" x14ac:dyDescent="0.25">
      <c r="A14" s="45" t="s">
        <v>91</v>
      </c>
    </row>
    <row r="15" spans="1:8" x14ac:dyDescent="0.25">
      <c r="A15" s="47" t="s">
        <v>86</v>
      </c>
      <c r="B15" s="52">
        <f t="shared" ref="B15:G15" si="3">B8</f>
        <v>1138118.25</v>
      </c>
      <c r="C15" s="52">
        <f t="shared" si="3"/>
        <v>1192877.3062499999</v>
      </c>
      <c r="D15" s="52">
        <f t="shared" si="3"/>
        <v>970092.38882624987</v>
      </c>
      <c r="E15" s="52">
        <f t="shared" si="3"/>
        <v>1157308.7625560809</v>
      </c>
      <c r="F15" s="52">
        <f t="shared" si="3"/>
        <v>1029575.0059883125</v>
      </c>
      <c r="G15" s="52">
        <f t="shared" si="3"/>
        <v>1040123.1011380206</v>
      </c>
    </row>
    <row r="16" spans="1:8" s="55" customFormat="1" ht="12.75" x14ac:dyDescent="0.2">
      <c r="A16" s="51" t="s">
        <v>92</v>
      </c>
      <c r="B16" s="76">
        <f>-'Building Purchase&amp;Depreciation'!B99</f>
        <v>-83616.923076923078</v>
      </c>
      <c r="C16" s="76">
        <f>-'Building Purchase&amp;Depreciation'!B100</f>
        <v>-167233.84615384616</v>
      </c>
      <c r="D16" s="53">
        <f>-'Building Purchase&amp;Depreciation'!B101</f>
        <v>-167233.84615384616</v>
      </c>
      <c r="E16" s="53">
        <f>-SUM('Building Purchase&amp;Depreciation'!B102:C102)</f>
        <v>-177233.84615384616</v>
      </c>
      <c r="F16" s="53">
        <f>-SUM('Building Purchase&amp;Depreciation'!B103:C103)</f>
        <v>-177233.84615384616</v>
      </c>
      <c r="G16" s="53">
        <f>-SUM('Building Purchase&amp;Depreciation'!B104:C104)</f>
        <v>-88616.923076923078</v>
      </c>
    </row>
    <row r="17" spans="1:7" s="55" customFormat="1" ht="12.75" x14ac:dyDescent="0.2">
      <c r="A17" s="51" t="s">
        <v>93</v>
      </c>
      <c r="B17" s="76">
        <f>-SUM('Building Purchase&amp;Depreciation'!C17:C28)</f>
        <v>-443578.11056165211</v>
      </c>
      <c r="C17" s="53">
        <f>-SUM('Building Purchase&amp;Depreciation'!C29:C40)</f>
        <v>-405338.9123783391</v>
      </c>
      <c r="D17" s="53">
        <f>-SUM('Building Purchase&amp;Depreciation'!C41:C52)</f>
        <v>-366860.86702705728</v>
      </c>
      <c r="E17" s="53">
        <f>-SUM('Building Purchase&amp;Depreciation'!C53:C64)</f>
        <v>-328382.82167577551</v>
      </c>
      <c r="F17" s="53">
        <f>-SUM('Building Purchase&amp;Depreciation'!C65:C76)</f>
        <v>-289904.7763244941</v>
      </c>
      <c r="G17" s="53">
        <f>-SUM('Building Purchase&amp;Depreciation'!C77:C88)</f>
        <v>-251426.73097321269</v>
      </c>
    </row>
    <row r="18" spans="1:7" x14ac:dyDescent="0.25">
      <c r="A18" s="47" t="s">
        <v>94</v>
      </c>
      <c r="B18" s="52">
        <f t="shared" ref="B18:G18" si="4">SUM(B15:B17)</f>
        <v>610923.21636142489</v>
      </c>
      <c r="C18" s="52">
        <f t="shared" si="4"/>
        <v>620304.54771781468</v>
      </c>
      <c r="D18" s="52">
        <f t="shared" si="4"/>
        <v>435997.67564534646</v>
      </c>
      <c r="E18" s="52">
        <f t="shared" si="4"/>
        <v>651692.09472645936</v>
      </c>
      <c r="F18" s="52">
        <f t="shared" si="4"/>
        <v>562436.38350997237</v>
      </c>
      <c r="G18" s="52">
        <f t="shared" si="4"/>
        <v>700079.44708788488</v>
      </c>
    </row>
    <row r="19" spans="1:7" x14ac:dyDescent="0.25">
      <c r="A19" s="47" t="s">
        <v>95</v>
      </c>
      <c r="B19" s="52">
        <f t="shared" ref="B19:G19" si="5">35%*B18</f>
        <v>213823.12572649869</v>
      </c>
      <c r="C19" s="52">
        <f t="shared" si="5"/>
        <v>217106.59170123513</v>
      </c>
      <c r="D19" s="52">
        <f t="shared" si="5"/>
        <v>152599.18647587125</v>
      </c>
      <c r="E19" s="52">
        <f t="shared" si="5"/>
        <v>228092.23315426076</v>
      </c>
      <c r="F19" s="52">
        <f t="shared" si="5"/>
        <v>196852.73422849033</v>
      </c>
      <c r="G19" s="52">
        <f t="shared" si="5"/>
        <v>245027.8064807597</v>
      </c>
    </row>
    <row r="21" spans="1:7" x14ac:dyDescent="0.25">
      <c r="B21" s="64"/>
    </row>
    <row r="22" spans="1:7" x14ac:dyDescent="0.25">
      <c r="A22" s="45" t="s">
        <v>96</v>
      </c>
      <c r="C22" s="45" t="s">
        <v>97</v>
      </c>
    </row>
    <row r="23" spans="1:7" x14ac:dyDescent="0.25">
      <c r="A23" s="51" t="s">
        <v>98</v>
      </c>
      <c r="B23" s="77">
        <f>G8/(8.5%)</f>
        <v>12236742.366329653</v>
      </c>
      <c r="C23" s="47" t="s">
        <v>99</v>
      </c>
      <c r="D23" s="62">
        <f>B25</f>
        <v>11992007.51900306</v>
      </c>
    </row>
    <row r="24" spans="1:7" ht="12.75" customHeight="1" x14ac:dyDescent="0.25">
      <c r="A24" s="54" t="s">
        <v>100</v>
      </c>
      <c r="B24" s="63">
        <f>-2%*B23</f>
        <v>-244734.84732659307</v>
      </c>
      <c r="C24" s="55"/>
      <c r="D24" s="79"/>
      <c r="E24" s="80"/>
      <c r="F24" s="80"/>
      <c r="G24" s="80"/>
    </row>
    <row r="25" spans="1:7" x14ac:dyDescent="0.25">
      <c r="A25" s="47" t="s">
        <v>99</v>
      </c>
      <c r="B25" s="62">
        <f>B23+B24</f>
        <v>11992007.51900306</v>
      </c>
    </row>
    <row r="26" spans="1:7" x14ac:dyDescent="0.25">
      <c r="A26" s="47" t="s">
        <v>101</v>
      </c>
      <c r="B26" s="78">
        <f>'Building Purchase&amp;Depreciation'!E88</f>
        <v>3074459.4187724716</v>
      </c>
      <c r="C26" s="64"/>
    </row>
    <row r="27" spans="1:7" x14ac:dyDescent="0.25">
      <c r="A27" s="47" t="s">
        <v>103</v>
      </c>
      <c r="B27" s="62">
        <f>B25+B26</f>
        <v>15066466.937775532</v>
      </c>
    </row>
    <row r="28" spans="1:7" x14ac:dyDescent="0.25">
      <c r="A28" s="47" t="s">
        <v>102</v>
      </c>
      <c r="B28" s="78">
        <f>-17%*(B23-B30)</f>
        <v>-825629.59458373336</v>
      </c>
      <c r="C28" s="64"/>
    </row>
    <row r="29" spans="1:7" x14ac:dyDescent="0.25">
      <c r="A29" s="47" t="s">
        <v>104</v>
      </c>
      <c r="B29" s="62">
        <f>B27+B28</f>
        <v>14240837.343191799</v>
      </c>
    </row>
    <row r="30" spans="1:7" x14ac:dyDescent="0.25">
      <c r="A30" s="82" t="s">
        <v>128</v>
      </c>
      <c r="B30" s="62">
        <f>'Building Purchase&amp;Depreciation'!D103</f>
        <v>7380097.692307693</v>
      </c>
    </row>
    <row r="31" spans="1:7" x14ac:dyDescent="0.25">
      <c r="A31" s="82" t="s">
        <v>129</v>
      </c>
      <c r="B31" s="81">
        <v>0.1</v>
      </c>
    </row>
    <row r="33" spans="1:9" s="45" customFormat="1" ht="12.75" x14ac:dyDescent="0.2">
      <c r="A33" s="49" t="s">
        <v>70</v>
      </c>
      <c r="B33" s="45">
        <v>0</v>
      </c>
      <c r="C33" s="45">
        <v>1</v>
      </c>
      <c r="D33" s="45">
        <v>2</v>
      </c>
      <c r="E33" s="45">
        <v>3</v>
      </c>
      <c r="F33" s="45">
        <v>4</v>
      </c>
      <c r="G33" s="45">
        <v>5</v>
      </c>
    </row>
    <row r="34" spans="1:9" x14ac:dyDescent="0.25">
      <c r="A34" s="45" t="s">
        <v>105</v>
      </c>
      <c r="H34" s="60" t="s">
        <v>37</v>
      </c>
      <c r="I34" s="60" t="s">
        <v>72</v>
      </c>
    </row>
    <row r="35" spans="1:9" x14ac:dyDescent="0.25">
      <c r="A35" s="47" t="s">
        <v>106</v>
      </c>
      <c r="B35" s="74">
        <f>B12</f>
        <v>411254.51958974916</v>
      </c>
      <c r="C35" s="52">
        <f>C12/((1+8.5%)^C33)</f>
        <v>426479.36393088719</v>
      </c>
      <c r="D35" s="52">
        <f>D12/((1+8.5%)^D33)</f>
        <v>258618.86866709977</v>
      </c>
      <c r="E35" s="52">
        <f>E12/((1+8.5%)^E33)</f>
        <v>325827.50183367293</v>
      </c>
      <c r="F35" s="52">
        <f>F12/((1+8.5%)^F33)</f>
        <v>230674.0701140014</v>
      </c>
      <c r="G35" s="52">
        <f>G12/((1+8.5%)^G33)</f>
        <v>0</v>
      </c>
      <c r="H35" s="61">
        <f>SUM(B35:G35)</f>
        <v>1652854.3241354104</v>
      </c>
    </row>
    <row r="36" spans="1:9" x14ac:dyDescent="0.25">
      <c r="A36" s="47" t="s">
        <v>107</v>
      </c>
      <c r="B36" s="67"/>
      <c r="C36" s="47"/>
      <c r="D36" s="47"/>
      <c r="E36" s="47"/>
      <c r="F36" s="47"/>
      <c r="G36" s="52">
        <f>B29</f>
        <v>14240837.343191799</v>
      </c>
    </row>
    <row r="37" spans="1:9" x14ac:dyDescent="0.25">
      <c r="A37" s="50" t="s">
        <v>108</v>
      </c>
      <c r="B37" s="74">
        <f>-'Building Purchase&amp;Depreciation'!B6-'Building Purchase&amp;Depreciation'!B4</f>
        <v>-2201215.5</v>
      </c>
      <c r="C37" s="47"/>
      <c r="D37" s="47"/>
      <c r="E37" s="47"/>
      <c r="F37" s="47"/>
      <c r="G37" s="47"/>
    </row>
    <row r="38" spans="1:9" x14ac:dyDescent="0.25">
      <c r="A38" s="47" t="s">
        <v>109</v>
      </c>
      <c r="B38" s="74">
        <f>SUM(B35:B37)</f>
        <v>-1789960.9804102508</v>
      </c>
      <c r="C38" s="52">
        <f>C35</f>
        <v>426479.36393088719</v>
      </c>
      <c r="D38" s="52">
        <f>D35</f>
        <v>258618.86866709977</v>
      </c>
      <c r="E38" s="52">
        <f>E35</f>
        <v>325827.50183367293</v>
      </c>
      <c r="F38" s="52">
        <f>F35</f>
        <v>230674.0701140014</v>
      </c>
      <c r="G38" s="52">
        <f>SUM(G35:G37)</f>
        <v>14240837.343191799</v>
      </c>
      <c r="I38" s="61">
        <f>SUM(B38:G38)</f>
        <v>13692476.167327208</v>
      </c>
    </row>
    <row r="39" spans="1:9" x14ac:dyDescent="0.25">
      <c r="B39" s="68"/>
    </row>
  </sheetData>
  <mergeCells count="1">
    <mergeCell ref="D24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Rent Market Project</vt:lpstr>
      <vt:lpstr>Building Purchase&amp;Depreciation</vt:lpstr>
      <vt:lpstr>Yearly Cashflow</vt:lpstr>
      <vt:lpstr>DCF Outline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</dc:creator>
  <cp:lastModifiedBy>Job</cp:lastModifiedBy>
  <dcterms:created xsi:type="dcterms:W3CDTF">2017-10-17T04:37:00Z</dcterms:created>
  <dcterms:modified xsi:type="dcterms:W3CDTF">2017-10-21T17:54:07Z</dcterms:modified>
</cp:coreProperties>
</file>