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 defaultThemeVersion="124226"/>
  <bookViews>
    <workbookView xWindow="-120" yWindow="-120" windowWidth="20730" windowHeight="11160"/>
  </bookViews>
  <sheets>
    <sheet name="Exhibit 1" sheetId="6" r:id="rId1"/>
    <sheet name="Exhibit 2" sheetId="7" r:id="rId2"/>
    <sheet name="Exhibit 3" sheetId="8" r:id="rId3"/>
    <sheet name="Exhibit 4" sheetId="5" r:id="rId4"/>
    <sheet name="Exhibit 7" sheetId="1" r:id="rId5"/>
    <sheet name="WACC" sheetId="10" r:id="rId6"/>
    <sheet name="UFCF - Sterling" sheetId="2" r:id="rId7"/>
    <sheet name="UFCF - Sterling w Synergies" sheetId="9" r:id="rId8"/>
  </sheets>
  <calcPr calcId="124519"/>
</workbook>
</file>

<file path=xl/calcChain.xml><?xml version="1.0" encoding="utf-8"?>
<calcChain xmlns="http://schemas.openxmlformats.org/spreadsheetml/2006/main">
  <c r="B9" i="10"/>
  <c r="B3"/>
  <c r="B5"/>
  <c r="B10"/>
  <c r="B11" s="1"/>
  <c r="B22" i="1"/>
  <c r="B23"/>
  <c r="K42"/>
  <c r="L42"/>
  <c r="L43"/>
  <c r="K43"/>
  <c r="J43"/>
  <c r="H43"/>
  <c r="G43"/>
  <c r="F43"/>
  <c r="D43"/>
  <c r="C43"/>
  <c r="B43"/>
  <c r="L23"/>
  <c r="K23"/>
  <c r="J23"/>
  <c r="H23"/>
  <c r="G23"/>
  <c r="F23"/>
  <c r="C23"/>
  <c r="D23"/>
  <c r="J42"/>
  <c r="G42"/>
  <c r="H42"/>
  <c r="F42"/>
  <c r="C42"/>
  <c r="D42"/>
  <c r="B42"/>
  <c r="L22"/>
  <c r="K22"/>
  <c r="J22"/>
  <c r="G22"/>
  <c r="H22"/>
  <c r="F22"/>
  <c r="C22"/>
  <c r="D22"/>
  <c r="D26" i="6"/>
  <c r="E27" i="9"/>
  <c r="F24"/>
  <c r="F48" s="1"/>
  <c r="F52" s="1"/>
  <c r="E22"/>
  <c r="E40" s="1"/>
  <c r="E48"/>
  <c r="E52" s="1"/>
  <c r="F26"/>
  <c r="G26" s="1"/>
  <c r="H26" s="1"/>
  <c r="I26" s="1"/>
  <c r="J26" s="1"/>
  <c r="K26" s="1"/>
  <c r="L26" s="1"/>
  <c r="M26" s="1"/>
  <c r="N26" s="1"/>
  <c r="G25"/>
  <c r="H25" s="1"/>
  <c r="I25" s="1"/>
  <c r="J25" s="1"/>
  <c r="K25" s="1"/>
  <c r="L25" s="1"/>
  <c r="M25" s="1"/>
  <c r="N25" s="1"/>
  <c r="E9"/>
  <c r="E23" s="1"/>
  <c r="E41" s="1"/>
  <c r="K50"/>
  <c r="L50" s="1"/>
  <c r="M50" s="1"/>
  <c r="N50" s="1"/>
  <c r="B41"/>
  <c r="D32"/>
  <c r="D43" s="1"/>
  <c r="C32"/>
  <c r="C43" s="1"/>
  <c r="B32"/>
  <c r="B43" s="1"/>
  <c r="D28"/>
  <c r="D42" s="1"/>
  <c r="C28"/>
  <c r="C42" s="1"/>
  <c r="B28"/>
  <c r="B42" s="1"/>
  <c r="D23"/>
  <c r="C23"/>
  <c r="C41"/>
  <c r="B23"/>
  <c r="D22"/>
  <c r="D45" s="1"/>
  <c r="C22"/>
  <c r="C45" s="1"/>
  <c r="C46" s="1"/>
  <c r="B22"/>
  <c r="B40"/>
  <c r="D13"/>
  <c r="D39"/>
  <c r="C13"/>
  <c r="C39" s="1"/>
  <c r="B13"/>
  <c r="B39" s="1"/>
  <c r="D12"/>
  <c r="D38" s="1"/>
  <c r="C12"/>
  <c r="C38" s="1"/>
  <c r="B12"/>
  <c r="B38" s="1"/>
  <c r="D11"/>
  <c r="D37" s="1"/>
  <c r="C11"/>
  <c r="C37" s="1"/>
  <c r="B11"/>
  <c r="B15" s="1"/>
  <c r="B17" s="1"/>
  <c r="K7"/>
  <c r="L7"/>
  <c r="M7" s="1"/>
  <c r="N7" s="1"/>
  <c r="E46" i="2"/>
  <c r="E50" s="1"/>
  <c r="C29" i="9"/>
  <c r="C33" s="1"/>
  <c r="C40"/>
  <c r="D41"/>
  <c r="E32"/>
  <c r="E11"/>
  <c r="D15"/>
  <c r="D17" s="1"/>
  <c r="B29"/>
  <c r="B33" s="1"/>
  <c r="B45"/>
  <c r="D40"/>
  <c r="K48" i="2"/>
  <c r="L48" s="1"/>
  <c r="M48" s="1"/>
  <c r="N48" s="1"/>
  <c r="E43" i="9"/>
  <c r="E37"/>
  <c r="K7" i="2"/>
  <c r="L7" s="1"/>
  <c r="M7" s="1"/>
  <c r="N7" s="1"/>
  <c r="E9"/>
  <c r="F25"/>
  <c r="F46" s="1"/>
  <c r="F50" s="1"/>
  <c r="G25"/>
  <c r="H25" s="1"/>
  <c r="E27"/>
  <c r="E11"/>
  <c r="E35" s="1"/>
  <c r="F14"/>
  <c r="F26" s="1"/>
  <c r="F27" i="9" s="1"/>
  <c r="F28" s="1"/>
  <c r="L32" i="1"/>
  <c r="L34"/>
  <c r="K32"/>
  <c r="K34"/>
  <c r="J32"/>
  <c r="J34"/>
  <c r="H32"/>
  <c r="H34"/>
  <c r="G32"/>
  <c r="G34"/>
  <c r="D32"/>
  <c r="D34"/>
  <c r="C32"/>
  <c r="C34"/>
  <c r="B32"/>
  <c r="B34"/>
  <c r="L12"/>
  <c r="L14"/>
  <c r="K12"/>
  <c r="K14"/>
  <c r="J12"/>
  <c r="J14"/>
  <c r="H12"/>
  <c r="H14"/>
  <c r="G12"/>
  <c r="G14"/>
  <c r="F12"/>
  <c r="F14"/>
  <c r="D12"/>
  <c r="D14"/>
  <c r="C12"/>
  <c r="C14"/>
  <c r="B12"/>
  <c r="B14"/>
  <c r="C12" i="2"/>
  <c r="C11"/>
  <c r="C35" s="1"/>
  <c r="D13"/>
  <c r="D12"/>
  <c r="D36" s="1"/>
  <c r="D11"/>
  <c r="C13"/>
  <c r="B13"/>
  <c r="B37" s="1"/>
  <c r="B11"/>
  <c r="B35" s="1"/>
  <c r="D31"/>
  <c r="D24"/>
  <c r="D39" s="1"/>
  <c r="D23"/>
  <c r="C31"/>
  <c r="C41" s="1"/>
  <c r="B31"/>
  <c r="C24"/>
  <c r="C23"/>
  <c r="B23"/>
  <c r="B38" s="1"/>
  <c r="B12"/>
  <c r="D33" i="5"/>
  <c r="C33"/>
  <c r="B33"/>
  <c r="D34" i="7"/>
  <c r="C34"/>
  <c r="B34"/>
  <c r="D27" i="2"/>
  <c r="D40" s="1"/>
  <c r="C27"/>
  <c r="B27"/>
  <c r="B40" s="1"/>
  <c r="D23" i="5"/>
  <c r="C23"/>
  <c r="B23"/>
  <c r="D9" i="8"/>
  <c r="C9"/>
  <c r="C13"/>
  <c r="B9"/>
  <c r="B24" i="7"/>
  <c r="D24"/>
  <c r="D12"/>
  <c r="D17"/>
  <c r="C12"/>
  <c r="C17"/>
  <c r="D9" i="6"/>
  <c r="C9"/>
  <c r="B9"/>
  <c r="D13" i="8"/>
  <c r="B13"/>
  <c r="C12" i="5"/>
  <c r="C17"/>
  <c r="C27"/>
  <c r="C35"/>
  <c r="B12"/>
  <c r="B17"/>
  <c r="D12"/>
  <c r="B28" i="7"/>
  <c r="B36"/>
  <c r="D28"/>
  <c r="B27" i="5"/>
  <c r="D27"/>
  <c r="C16" i="8"/>
  <c r="B12" i="7"/>
  <c r="B17"/>
  <c r="C24"/>
  <c r="B13" i="6"/>
  <c r="D13"/>
  <c r="C13"/>
  <c r="D16"/>
  <c r="D17" i="5"/>
  <c r="D36" i="7"/>
  <c r="B35" i="5"/>
  <c r="D35"/>
  <c r="C19" i="8"/>
  <c r="D16"/>
  <c r="B16"/>
  <c r="C28" i="7"/>
  <c r="B16" i="6"/>
  <c r="C16"/>
  <c r="D19"/>
  <c r="C22" i="8"/>
  <c r="C25"/>
  <c r="B19"/>
  <c r="D19"/>
  <c r="C36" i="7"/>
  <c r="B19" i="6"/>
  <c r="C19"/>
  <c r="C22"/>
  <c r="C26"/>
  <c r="D22"/>
  <c r="B22"/>
  <c r="B26"/>
  <c r="D22" i="8"/>
  <c r="D25"/>
  <c r="B22"/>
  <c r="B25"/>
  <c r="C37" i="2"/>
  <c r="D41"/>
  <c r="B41"/>
  <c r="D35"/>
  <c r="C40"/>
  <c r="C39"/>
  <c r="C38"/>
  <c r="C36"/>
  <c r="B24"/>
  <c r="B39" s="1"/>
  <c r="D38"/>
  <c r="B28"/>
  <c r="B32" s="1"/>
  <c r="D37"/>
  <c r="B36"/>
  <c r="D15"/>
  <c r="D16" s="1"/>
  <c r="B6" i="10" l="1"/>
  <c r="B12" s="1"/>
  <c r="B22" s="1"/>
  <c r="B18" s="1"/>
  <c r="B23" s="1"/>
  <c r="D46" i="9"/>
  <c r="C15"/>
  <c r="C17" s="1"/>
  <c r="D29"/>
  <c r="D33" s="1"/>
  <c r="B37"/>
  <c r="E12"/>
  <c r="E38" s="1"/>
  <c r="G24"/>
  <c r="C15" i="2"/>
  <c r="C16" s="1"/>
  <c r="F27"/>
  <c r="B43"/>
  <c r="B15"/>
  <c r="B16" s="1"/>
  <c r="D28"/>
  <c r="D32" s="1"/>
  <c r="C43"/>
  <c r="C44" s="1"/>
  <c r="C28"/>
  <c r="C32" s="1"/>
  <c r="D43"/>
  <c r="D44" s="1"/>
  <c r="H46"/>
  <c r="H50" s="1"/>
  <c r="I25"/>
  <c r="E12"/>
  <c r="E31"/>
  <c r="E41" s="1"/>
  <c r="E24"/>
  <c r="E39" s="1"/>
  <c r="E40"/>
  <c r="E23"/>
  <c r="F9"/>
  <c r="E13"/>
  <c r="G14"/>
  <c r="G26" s="1"/>
  <c r="G46"/>
  <c r="G50" s="1"/>
  <c r="E28" i="9"/>
  <c r="E42" s="1"/>
  <c r="E14"/>
  <c r="F14"/>
  <c r="E45"/>
  <c r="E46" s="1"/>
  <c r="E53" s="1"/>
  <c r="E29" l="1"/>
  <c r="E33" s="1"/>
  <c r="H24"/>
  <c r="G48"/>
  <c r="G52" s="1"/>
  <c r="H14" i="2"/>
  <c r="E13" i="9"/>
  <c r="E37" i="2"/>
  <c r="E43"/>
  <c r="E44" s="1"/>
  <c r="E51" s="1"/>
  <c r="E28"/>
  <c r="E32" s="1"/>
  <c r="E38"/>
  <c r="E36"/>
  <c r="E15"/>
  <c r="E16" s="1"/>
  <c r="E49" s="1"/>
  <c r="E52" s="1"/>
  <c r="E53" s="1"/>
  <c r="G27"/>
  <c r="G27" i="9"/>
  <c r="H26" i="2"/>
  <c r="F12"/>
  <c r="F36" s="1"/>
  <c r="F23"/>
  <c r="G9"/>
  <c r="F11"/>
  <c r="F24"/>
  <c r="F39" s="1"/>
  <c r="F9" i="9"/>
  <c r="F13" i="2"/>
  <c r="F31"/>
  <c r="F41" s="1"/>
  <c r="J25"/>
  <c r="I14"/>
  <c r="I46"/>
  <c r="I50" s="1"/>
  <c r="F40"/>
  <c r="I24" i="9" l="1"/>
  <c r="H48"/>
  <c r="H52" s="1"/>
  <c r="G40" i="2"/>
  <c r="J46"/>
  <c r="J50" s="1"/>
  <c r="J14"/>
  <c r="K25"/>
  <c r="F37"/>
  <c r="F13" i="9"/>
  <c r="F39" s="1"/>
  <c r="F35" i="2"/>
  <c r="F15"/>
  <c r="F16" s="1"/>
  <c r="F49" s="1"/>
  <c r="F52" s="1"/>
  <c r="F53" s="1"/>
  <c r="F28"/>
  <c r="F32" s="1"/>
  <c r="F38"/>
  <c r="F43"/>
  <c r="F44" s="1"/>
  <c r="F51" s="1"/>
  <c r="I26"/>
  <c r="H27" i="9"/>
  <c r="H27" i="2"/>
  <c r="G9" i="9"/>
  <c r="F32"/>
  <c r="F43" s="1"/>
  <c r="F11"/>
  <c r="F12"/>
  <c r="F38" s="1"/>
  <c r="F22"/>
  <c r="F23"/>
  <c r="F41" s="1"/>
  <c r="F42"/>
  <c r="G13" i="2"/>
  <c r="G11"/>
  <c r="G23"/>
  <c r="G12"/>
  <c r="G36" s="1"/>
  <c r="G31"/>
  <c r="G41" s="1"/>
  <c r="G24"/>
  <c r="G39" s="1"/>
  <c r="H9"/>
  <c r="G14" i="9"/>
  <c r="G28"/>
  <c r="E15"/>
  <c r="E17" s="1"/>
  <c r="E51" s="1"/>
  <c r="E54" s="1"/>
  <c r="E55" s="1"/>
  <c r="E39"/>
  <c r="J24" l="1"/>
  <c r="I48"/>
  <c r="I52" s="1"/>
  <c r="H40" i="2"/>
  <c r="G42" i="9"/>
  <c r="G38" i="2"/>
  <c r="G43"/>
  <c r="G44" s="1"/>
  <c r="G51" s="1"/>
  <c r="G28"/>
  <c r="G32" s="1"/>
  <c r="G13" i="9"/>
  <c r="G39" s="1"/>
  <c r="G37" i="2"/>
  <c r="I27" i="9"/>
  <c r="J26" i="2"/>
  <c r="I27"/>
  <c r="H24"/>
  <c r="H39" s="1"/>
  <c r="H31"/>
  <c r="H41" s="1"/>
  <c r="H11"/>
  <c r="H12"/>
  <c r="H36" s="1"/>
  <c r="H23"/>
  <c r="H13"/>
  <c r="I9"/>
  <c r="G35"/>
  <c r="G15"/>
  <c r="G16" s="1"/>
  <c r="G49" s="1"/>
  <c r="G52" s="1"/>
  <c r="G53" s="1"/>
  <c r="F40" i="9"/>
  <c r="F29"/>
  <c r="F33" s="1"/>
  <c r="F45"/>
  <c r="F46" s="1"/>
  <c r="F53" s="1"/>
  <c r="F37"/>
  <c r="F15"/>
  <c r="F17" s="1"/>
  <c r="F51" s="1"/>
  <c r="F54" s="1"/>
  <c r="F55" s="1"/>
  <c r="H9"/>
  <c r="G23"/>
  <c r="G41" s="1"/>
  <c r="G32"/>
  <c r="G43" s="1"/>
  <c r="G11"/>
  <c r="G12"/>
  <c r="G38" s="1"/>
  <c r="G22"/>
  <c r="H14"/>
  <c r="H28"/>
  <c r="K14" i="2"/>
  <c r="L25"/>
  <c r="K46"/>
  <c r="K50" s="1"/>
  <c r="K24" i="9" l="1"/>
  <c r="J48"/>
  <c r="J52" s="1"/>
  <c r="I40" i="2"/>
  <c r="H12" i="9"/>
  <c r="H38" s="1"/>
  <c r="H32"/>
  <c r="H43" s="1"/>
  <c r="I9"/>
  <c r="H23"/>
  <c r="H41" s="1"/>
  <c r="H22"/>
  <c r="H11"/>
  <c r="H37" i="2"/>
  <c r="H13" i="9"/>
  <c r="H39" s="1"/>
  <c r="I14"/>
  <c r="I28"/>
  <c r="L46" i="2"/>
  <c r="L50" s="1"/>
  <c r="L14"/>
  <c r="M25"/>
  <c r="H42" i="9"/>
  <c r="G40"/>
  <c r="G29"/>
  <c r="G33" s="1"/>
  <c r="G45"/>
  <c r="G46" s="1"/>
  <c r="G53" s="1"/>
  <c r="G15"/>
  <c r="G17" s="1"/>
  <c r="G51" s="1"/>
  <c r="G37"/>
  <c r="I13" i="2"/>
  <c r="I11"/>
  <c r="I12"/>
  <c r="I36" s="1"/>
  <c r="O9"/>
  <c r="J9" s="1"/>
  <c r="I31"/>
  <c r="I41" s="1"/>
  <c r="I24"/>
  <c r="I39" s="1"/>
  <c r="I23"/>
  <c r="H43"/>
  <c r="H44" s="1"/>
  <c r="H51" s="1"/>
  <c r="H28"/>
  <c r="H32" s="1"/>
  <c r="H38"/>
  <c r="H15"/>
  <c r="H16" s="1"/>
  <c r="H49" s="1"/>
  <c r="H35"/>
  <c r="K26"/>
  <c r="J27" i="9"/>
  <c r="J27" i="2"/>
  <c r="L24" i="9" l="1"/>
  <c r="K48"/>
  <c r="K52" s="1"/>
  <c r="H52" i="2"/>
  <c r="H53" s="1"/>
  <c r="J40"/>
  <c r="I42" i="9"/>
  <c r="K27"/>
  <c r="L26" i="2"/>
  <c r="K27"/>
  <c r="I28"/>
  <c r="I32" s="1"/>
  <c r="I38"/>
  <c r="I43"/>
  <c r="I44" s="1"/>
  <c r="I51" s="1"/>
  <c r="I13" i="9"/>
  <c r="I39" s="1"/>
  <c r="I37" i="2"/>
  <c r="H37" i="9"/>
  <c r="H15"/>
  <c r="H17" s="1"/>
  <c r="H51" s="1"/>
  <c r="J28"/>
  <c r="J14"/>
  <c r="J24" i="2"/>
  <c r="J39" s="1"/>
  <c r="J12"/>
  <c r="J36" s="1"/>
  <c r="K9"/>
  <c r="J11"/>
  <c r="J31"/>
  <c r="J41" s="1"/>
  <c r="J13"/>
  <c r="J23"/>
  <c r="I15"/>
  <c r="I16" s="1"/>
  <c r="I49" s="1"/>
  <c r="I52" s="1"/>
  <c r="I53" s="1"/>
  <c r="I35"/>
  <c r="G54" i="9"/>
  <c r="G55" s="1"/>
  <c r="M14" i="2"/>
  <c r="N25"/>
  <c r="M46"/>
  <c r="M50" s="1"/>
  <c r="H40" i="9"/>
  <c r="H29"/>
  <c r="H33" s="1"/>
  <c r="H45"/>
  <c r="H46" s="1"/>
  <c r="H53" s="1"/>
  <c r="H54" s="1"/>
  <c r="H55" s="1"/>
  <c r="J9"/>
  <c r="I32"/>
  <c r="I43" s="1"/>
  <c r="I23"/>
  <c r="I41" s="1"/>
  <c r="I12"/>
  <c r="I38" s="1"/>
  <c r="I11"/>
  <c r="I22"/>
  <c r="M24" l="1"/>
  <c r="L48"/>
  <c r="L52" s="1"/>
  <c r="I15"/>
  <c r="I17" s="1"/>
  <c r="I51" s="1"/>
  <c r="I37"/>
  <c r="J32"/>
  <c r="J43" s="1"/>
  <c r="J22"/>
  <c r="J12"/>
  <c r="J38" s="1"/>
  <c r="J11"/>
  <c r="K9"/>
  <c r="J23"/>
  <c r="J41" s="1"/>
  <c r="N14" i="2"/>
  <c r="N46"/>
  <c r="N50" s="1"/>
  <c r="J37"/>
  <c r="J13" i="9"/>
  <c r="J39" s="1"/>
  <c r="K13" i="2"/>
  <c r="K11"/>
  <c r="K31"/>
  <c r="K41" s="1"/>
  <c r="K23"/>
  <c r="K12"/>
  <c r="K36" s="1"/>
  <c r="K24"/>
  <c r="K39" s="1"/>
  <c r="L9"/>
  <c r="J42" i="9"/>
  <c r="K40" i="2"/>
  <c r="K14" i="9"/>
  <c r="K28"/>
  <c r="K42" s="1"/>
  <c r="I29"/>
  <c r="I33" s="1"/>
  <c r="I45"/>
  <c r="I46" s="1"/>
  <c r="I53" s="1"/>
  <c r="I40"/>
  <c r="J43" i="2"/>
  <c r="J44" s="1"/>
  <c r="J51" s="1"/>
  <c r="J28"/>
  <c r="J32" s="1"/>
  <c r="J38"/>
  <c r="J35"/>
  <c r="J15"/>
  <c r="J16" s="1"/>
  <c r="J49" s="1"/>
  <c r="J52" s="1"/>
  <c r="J53" s="1"/>
  <c r="L27" i="9"/>
  <c r="M26" i="2"/>
  <c r="L27"/>
  <c r="L40" s="1"/>
  <c r="N24" i="9" l="1"/>
  <c r="N48" s="1"/>
  <c r="N52" s="1"/>
  <c r="M48"/>
  <c r="M52" s="1"/>
  <c r="L28"/>
  <c r="L14"/>
  <c r="K13"/>
  <c r="K39" s="1"/>
  <c r="K37" i="2"/>
  <c r="J37" i="9"/>
  <c r="J15"/>
  <c r="J17" s="1"/>
  <c r="J51" s="1"/>
  <c r="J45"/>
  <c r="J46" s="1"/>
  <c r="J53" s="1"/>
  <c r="J29"/>
  <c r="J33" s="1"/>
  <c r="J40"/>
  <c r="M27"/>
  <c r="N26" i="2"/>
  <c r="M27"/>
  <c r="L31"/>
  <c r="L41" s="1"/>
  <c r="L23"/>
  <c r="L24"/>
  <c r="L39" s="1"/>
  <c r="M9"/>
  <c r="L11"/>
  <c r="L12"/>
  <c r="L36" s="1"/>
  <c r="L13"/>
  <c r="K43"/>
  <c r="K44" s="1"/>
  <c r="K51" s="1"/>
  <c r="K28"/>
  <c r="K32" s="1"/>
  <c r="K38"/>
  <c r="K15"/>
  <c r="K16" s="1"/>
  <c r="K49" s="1"/>
  <c r="K35"/>
  <c r="L9" i="9"/>
  <c r="K22"/>
  <c r="K11"/>
  <c r="K32"/>
  <c r="K43" s="1"/>
  <c r="K23"/>
  <c r="K41" s="1"/>
  <c r="K12"/>
  <c r="K38" s="1"/>
  <c r="I54"/>
  <c r="I55" s="1"/>
  <c r="J54" l="1"/>
  <c r="J55" s="1"/>
  <c r="K52" i="2"/>
  <c r="K53" s="1"/>
  <c r="K15" i="9"/>
  <c r="K17" s="1"/>
  <c r="K51" s="1"/>
  <c r="K37"/>
  <c r="L12"/>
  <c r="L38" s="1"/>
  <c r="L11"/>
  <c r="M9"/>
  <c r="L22"/>
  <c r="L32"/>
  <c r="L43" s="1"/>
  <c r="L23"/>
  <c r="L41" s="1"/>
  <c r="L13"/>
  <c r="L39" s="1"/>
  <c r="L37" i="2"/>
  <c r="L35"/>
  <c r="L15"/>
  <c r="L16" s="1"/>
  <c r="L49" s="1"/>
  <c r="M12"/>
  <c r="M36" s="1"/>
  <c r="N9"/>
  <c r="M13"/>
  <c r="M11"/>
  <c r="M23"/>
  <c r="M24"/>
  <c r="M39" s="1"/>
  <c r="M31"/>
  <c r="M41" s="1"/>
  <c r="L38"/>
  <c r="L43"/>
  <c r="L44" s="1"/>
  <c r="L51" s="1"/>
  <c r="L28"/>
  <c r="L32" s="1"/>
  <c r="M40"/>
  <c r="M14" i="9"/>
  <c r="M28"/>
  <c r="M42" s="1"/>
  <c r="K45"/>
  <c r="K46" s="1"/>
  <c r="K53" s="1"/>
  <c r="K40"/>
  <c r="K29"/>
  <c r="K33" s="1"/>
  <c r="N27"/>
  <c r="N27" i="2"/>
  <c r="L42" i="9"/>
  <c r="N14" l="1"/>
  <c r="N28"/>
  <c r="M15" i="2"/>
  <c r="M16" s="1"/>
  <c r="M49" s="1"/>
  <c r="M35"/>
  <c r="N11"/>
  <c r="N12"/>
  <c r="N36" s="1"/>
  <c r="N23"/>
  <c r="N24"/>
  <c r="N39" s="1"/>
  <c r="N31"/>
  <c r="N41" s="1"/>
  <c r="N13"/>
  <c r="L52"/>
  <c r="L53" s="1"/>
  <c r="L45" i="9"/>
  <c r="L46" s="1"/>
  <c r="L53" s="1"/>
  <c r="L40"/>
  <c r="L29"/>
  <c r="L33" s="1"/>
  <c r="L37"/>
  <c r="L15"/>
  <c r="L17" s="1"/>
  <c r="L51" s="1"/>
  <c r="L54" s="1"/>
  <c r="L55" s="1"/>
  <c r="N40" i="2"/>
  <c r="M43"/>
  <c r="M44" s="1"/>
  <c r="M51" s="1"/>
  <c r="M28"/>
  <c r="M32" s="1"/>
  <c r="M38"/>
  <c r="M13" i="9"/>
  <c r="M39" s="1"/>
  <c r="M37" i="2"/>
  <c r="M23" i="9"/>
  <c r="M41" s="1"/>
  <c r="M12"/>
  <c r="M38" s="1"/>
  <c r="M11"/>
  <c r="N9"/>
  <c r="M32"/>
  <c r="M43" s="1"/>
  <c r="M22"/>
  <c r="K54"/>
  <c r="K55" s="1"/>
  <c r="N42" l="1"/>
  <c r="M15"/>
  <c r="M17" s="1"/>
  <c r="M51" s="1"/>
  <c r="M37"/>
  <c r="M45"/>
  <c r="M46" s="1"/>
  <c r="M53" s="1"/>
  <c r="M40"/>
  <c r="M29"/>
  <c r="M33" s="1"/>
  <c r="N32"/>
  <c r="N43" s="1"/>
  <c r="N22"/>
  <c r="N23"/>
  <c r="N41" s="1"/>
  <c r="N12"/>
  <c r="N38" s="1"/>
  <c r="N11"/>
  <c r="N37" i="2"/>
  <c r="N13" i="9"/>
  <c r="N39" s="1"/>
  <c r="N28" i="2"/>
  <c r="N32" s="1"/>
  <c r="N38"/>
  <c r="N43"/>
  <c r="N44" s="1"/>
  <c r="N51" s="1"/>
  <c r="N15"/>
  <c r="N16" s="1"/>
  <c r="N49" s="1"/>
  <c r="N35"/>
  <c r="M52"/>
  <c r="M53" s="1"/>
  <c r="N52" l="1"/>
  <c r="N53" s="1"/>
  <c r="B55" s="1"/>
  <c r="B56"/>
  <c r="N37" i="9"/>
  <c r="N15"/>
  <c r="N17" s="1"/>
  <c r="N51" s="1"/>
  <c r="N45"/>
  <c r="N46" s="1"/>
  <c r="N53" s="1"/>
  <c r="N40"/>
  <c r="N29"/>
  <c r="N33" s="1"/>
  <c r="M54"/>
  <c r="M55" s="1"/>
  <c r="N54" l="1"/>
  <c r="B58" s="1"/>
  <c r="B57" i="2"/>
  <c r="N55" i="9" l="1"/>
  <c r="B57" s="1"/>
  <c r="B59" s="1"/>
</calcChain>
</file>

<file path=xl/sharedStrings.xml><?xml version="1.0" encoding="utf-8"?>
<sst xmlns="http://schemas.openxmlformats.org/spreadsheetml/2006/main" count="279" uniqueCount="137">
  <si>
    <t>Sterling Household Products Company</t>
  </si>
  <si>
    <t>Exhibit 1  Income Statement for Sterling Household Products Company</t>
  </si>
  <si>
    <t>($ in millions except per share amounts)</t>
  </si>
  <si>
    <t>Net sales</t>
  </si>
  <si>
    <t>Cost of goods sold</t>
  </si>
  <si>
    <t xml:space="preserve">  Gross profit</t>
  </si>
  <si>
    <t>General, selling &amp; administrative expenses</t>
  </si>
  <si>
    <t>Research &amp; development expenses</t>
  </si>
  <si>
    <t xml:space="preserve">  Income before interest and income taxes</t>
  </si>
  <si>
    <t>Interest expenses</t>
  </si>
  <si>
    <t xml:space="preserve">  Income before income taxes</t>
  </si>
  <si>
    <t>Income taxes expenses</t>
  </si>
  <si>
    <t xml:space="preserve">  Net income</t>
  </si>
  <si>
    <t>Weighted number of shares outstanding (in thousands)</t>
  </si>
  <si>
    <t>Earnings per share</t>
  </si>
  <si>
    <t>Dividends per share</t>
  </si>
  <si>
    <t>Stock price at end of year</t>
  </si>
  <si>
    <t>Price/Earnings ratio</t>
  </si>
  <si>
    <t>Equity beta coefficient</t>
  </si>
  <si>
    <t>Exhibit 2  Balance Sheet for Sterling Household Products Company</t>
  </si>
  <si>
    <t>Assets</t>
  </si>
  <si>
    <t>Current assets</t>
  </si>
  <si>
    <t>Cash and cash equivalents</t>
  </si>
  <si>
    <t>Accounts receivable, net</t>
  </si>
  <si>
    <t>Inventories, net</t>
  </si>
  <si>
    <t>Other current assets</t>
  </si>
  <si>
    <t xml:space="preserve">  Total current assets</t>
  </si>
  <si>
    <t>Property, plant &amp; equipment, net</t>
  </si>
  <si>
    <t>Goodwill &amp; trademarks</t>
  </si>
  <si>
    <t>Other assets</t>
  </si>
  <si>
    <t xml:space="preserve">  Total assets</t>
  </si>
  <si>
    <t>Liabilities &amp; Shareholder's Equity</t>
  </si>
  <si>
    <t>Current liabilities</t>
  </si>
  <si>
    <t>Accounts payable</t>
  </si>
  <si>
    <t>Short-term bank notes payable</t>
  </si>
  <si>
    <t>Accrued liabilities</t>
  </si>
  <si>
    <t xml:space="preserve">  Total current liabilities</t>
  </si>
  <si>
    <t>Long-term debt</t>
  </si>
  <si>
    <t>Other long-term liabilities</t>
  </si>
  <si>
    <t xml:space="preserve">  Total liabilities</t>
  </si>
  <si>
    <t>Shareholders' equity</t>
  </si>
  <si>
    <t>Contributed capital</t>
  </si>
  <si>
    <t>Retained earnings</t>
  </si>
  <si>
    <t>Treasury stock</t>
  </si>
  <si>
    <t xml:space="preserve">  Stockholders' equity</t>
  </si>
  <si>
    <t xml:space="preserve">  Total liabilities &amp; shareholders' equity</t>
  </si>
  <si>
    <t>Exhibit 3  Income Statement for Montagne Medical Instruments Company</t>
  </si>
  <si>
    <t/>
  </si>
  <si>
    <t>Income tax expenses</t>
  </si>
  <si>
    <t>Exhibit 4  Balance Sheet for Montagne Medical Instruments Company</t>
  </si>
  <si>
    <t>Intangible assets, net</t>
  </si>
  <si>
    <t>Liabilities &amp; Shareholders' Equity</t>
  </si>
  <si>
    <t>Shareholders' Equity</t>
  </si>
  <si>
    <t xml:space="preserve">  Shareholders' equity</t>
  </si>
  <si>
    <t>Exhibit 7  Financial information for selected companies in S.I.C. 3841 (surgical and medical instruments &amp; apparatus) with</t>
  </si>
  <si>
    <t xml:space="preserve">                 significant shares of the germicidal, sanitation, and antiseptic products market</t>
  </si>
  <si>
    <t>Teleological</t>
  </si>
  <si>
    <t>Labyrinth</t>
  </si>
  <si>
    <t>Stratus</t>
  </si>
  <si>
    <t>Sales revenue ($ in millions)</t>
  </si>
  <si>
    <t>Net income ($ in millions)</t>
  </si>
  <si>
    <t>Year-end price/earnings ratio</t>
  </si>
  <si>
    <t>Year-end common stock price</t>
  </si>
  <si>
    <t>Market value of equity ($ in millions)</t>
  </si>
  <si>
    <t>Balance sheet capitalization</t>
  </si>
  <si>
    <t xml:space="preserve"> % debt</t>
  </si>
  <si>
    <t xml:space="preserve"> % common stock</t>
  </si>
  <si>
    <t>---</t>
  </si>
  <si>
    <t>Interest coverage</t>
  </si>
  <si>
    <t xml:space="preserve">MV of Debt </t>
  </si>
  <si>
    <t xml:space="preserve">D/E Ratio </t>
  </si>
  <si>
    <t>Chiron</t>
  </si>
  <si>
    <t>Vortex</t>
  </si>
  <si>
    <t>Pathogen</t>
  </si>
  <si>
    <t>n/a</t>
  </si>
  <si>
    <t>Unlevered Beta Calculation</t>
  </si>
  <si>
    <t>Avg. Beta of Comps</t>
  </si>
  <si>
    <t xml:space="preserve">Tax Rate </t>
  </si>
  <si>
    <t>Avg. D/E of Comps</t>
  </si>
  <si>
    <t>Avg. Unlevered Beta of Comps</t>
  </si>
  <si>
    <t>Levered Beta Calculation</t>
  </si>
  <si>
    <t xml:space="preserve">Sterling MV of Equity </t>
  </si>
  <si>
    <t xml:space="preserve">Sterling MV of Debt </t>
  </si>
  <si>
    <t>Sterling Household D/E</t>
  </si>
  <si>
    <t xml:space="preserve">Levered Beta </t>
  </si>
  <si>
    <t>WACC Calculation</t>
  </si>
  <si>
    <t xml:space="preserve">Risk Free Rate </t>
  </si>
  <si>
    <t xml:space="preserve">Market Risk Premium </t>
  </si>
  <si>
    <t>Cost of Debt</t>
  </si>
  <si>
    <t xml:space="preserve">Cost of Equity </t>
  </si>
  <si>
    <t xml:space="preserve">Weight of Debt </t>
  </si>
  <si>
    <t xml:space="preserve">Weight of Equity </t>
  </si>
  <si>
    <t>Beta</t>
  </si>
  <si>
    <t>WACC</t>
  </si>
  <si>
    <t>Exhibit 5  Financial Information for Montagne Medical Instruments Company's</t>
  </si>
  <si>
    <t xml:space="preserve">                 germicidal, sanitation and antiseptic products unit</t>
  </si>
  <si>
    <t>Income Statement</t>
  </si>
  <si>
    <t>Given</t>
  </si>
  <si>
    <t>Predicted off Sales</t>
  </si>
  <si>
    <t>($ in thousands)</t>
  </si>
  <si>
    <t>Growth in 2017</t>
  </si>
  <si>
    <t>Manufacturing expenses</t>
  </si>
  <si>
    <t>Selling &amp; administrative expenses</t>
  </si>
  <si>
    <t>Depreciation expenses</t>
  </si>
  <si>
    <t xml:space="preserve">  Total costs</t>
  </si>
  <si>
    <t>Operating income</t>
  </si>
  <si>
    <t>Balance sheet</t>
  </si>
  <si>
    <t>Operating assets:</t>
  </si>
  <si>
    <t>Accounts receivable</t>
  </si>
  <si>
    <t>Inventory</t>
  </si>
  <si>
    <t xml:space="preserve">  Property, plant &amp; equipment, at cost</t>
  </si>
  <si>
    <t xml:space="preserve">  - Accumulated depreciation</t>
  </si>
  <si>
    <t xml:space="preserve">  Total operating assets</t>
  </si>
  <si>
    <t>Operating liabilities:</t>
  </si>
  <si>
    <t xml:space="preserve">  Accounts payable</t>
  </si>
  <si>
    <t>Net operating assets</t>
  </si>
  <si>
    <t>Percent of sales ratios:</t>
  </si>
  <si>
    <t xml:space="preserve">  Manufacturing expenses</t>
  </si>
  <si>
    <t xml:space="preserve">  Selling &amp; administrative expenses</t>
  </si>
  <si>
    <t xml:space="preserve">  Research &amp; development expenses</t>
  </si>
  <si>
    <t xml:space="preserve">  Accounts receivable</t>
  </si>
  <si>
    <t xml:space="preserve">  Inventory</t>
  </si>
  <si>
    <t xml:space="preserve">  Property, plant &amp; equipment, net</t>
  </si>
  <si>
    <t>Working Capital</t>
  </si>
  <si>
    <t>Net Working Capital</t>
  </si>
  <si>
    <t>Change in Net Working Capital Investment</t>
  </si>
  <si>
    <t>Operating Cash Flow</t>
  </si>
  <si>
    <t>Minus Capital Expenditures</t>
  </si>
  <si>
    <t xml:space="preserve">Minus Net Working Capital Investment </t>
  </si>
  <si>
    <t>Free Cash Flow</t>
  </si>
  <si>
    <t>Discounted Cash Flow</t>
  </si>
  <si>
    <t>Present Value of Cash Flows</t>
  </si>
  <si>
    <t>Terminal Value</t>
  </si>
  <si>
    <t>Enterprise Value</t>
  </si>
  <si>
    <t xml:space="preserve">  Property, plant &amp; equipment of Sterling</t>
  </si>
  <si>
    <t>Capital Expenditures from Expansion</t>
  </si>
  <si>
    <t>Straightline Depreciation (Realized in 2014)</t>
  </si>
</sst>
</file>

<file path=xl/styles.xml><?xml version="1.0" encoding="utf-8"?>
<styleSheet xmlns="http://schemas.openxmlformats.org/spreadsheetml/2006/main">
  <numFmts count="9">
    <numFmt numFmtId="164" formatCode="_-&quot;$&quot;* #,##0.00_-;\-&quot;$&quot;* #,##0.00_-;_-&quot;$&quot;* &quot;-&quot;??_-;_-@_-"/>
    <numFmt numFmtId="165" formatCode="&quot;$&quot;#,##0.00"/>
    <numFmt numFmtId="166" formatCode="0.0"/>
    <numFmt numFmtId="167" formatCode="[$-409]d\-mmm\-yy;@"/>
    <numFmt numFmtId="168" formatCode="&quot;$&quot;#,##0"/>
    <numFmt numFmtId="169" formatCode="0.0%"/>
    <numFmt numFmtId="170" formatCode="&quot;$&quot;#,##0.0"/>
    <numFmt numFmtId="171" formatCode="0.000"/>
    <numFmt numFmtId="172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11"/>
      <name val="Palatino Linotype"/>
      <family val="1"/>
    </font>
    <font>
      <sz val="11"/>
      <name val="Palatino Linotype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Garamond"/>
      <family val="1"/>
    </font>
    <font>
      <sz val="11"/>
      <color theme="1"/>
      <name val="Garamond"/>
      <family val="1"/>
    </font>
    <font>
      <sz val="10"/>
      <color theme="1"/>
      <name val="Garamond"/>
      <family val="1"/>
    </font>
    <font>
      <b/>
      <sz val="11"/>
      <color theme="1"/>
      <name val="Garamond"/>
      <family val="1"/>
    </font>
    <font>
      <sz val="10"/>
      <color theme="0"/>
      <name val="Garamond"/>
      <family val="1"/>
    </font>
    <font>
      <sz val="11"/>
      <color theme="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/>
      <top/>
      <bottom style="thin">
        <color rgb="FF50505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7" fontId="3" fillId="0" borderId="0" xfId="0" applyNumberFormat="1" applyFont="1" applyAlignment="1">
      <alignment horizontal="center"/>
    </xf>
    <xf numFmtId="0" fontId="4" fillId="0" borderId="0" xfId="0" applyFont="1"/>
    <xf numFmtId="1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168" fontId="3" fillId="0" borderId="0" xfId="0" applyNumberFormat="1" applyFont="1"/>
    <xf numFmtId="168" fontId="3" fillId="0" borderId="1" xfId="0" applyNumberFormat="1" applyFont="1" applyBorder="1"/>
    <xf numFmtId="0" fontId="3" fillId="0" borderId="0" xfId="0" quotePrefix="1" applyFont="1"/>
    <xf numFmtId="3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4" fontId="3" fillId="0" borderId="0" xfId="0" applyNumberFormat="1" applyFont="1"/>
    <xf numFmtId="1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8" fontId="3" fillId="0" borderId="0" xfId="0" applyNumberFormat="1" applyFont="1" applyAlignment="1">
      <alignment horizontal="right"/>
    </xf>
    <xf numFmtId="168" fontId="3" fillId="0" borderId="1" xfId="0" applyNumberFormat="1" applyFont="1" applyBorder="1" applyAlignment="1">
      <alignment horizontal="right"/>
    </xf>
    <xf numFmtId="38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5" fillId="0" borderId="0" xfId="0" applyFont="1"/>
    <xf numFmtId="0" fontId="6" fillId="0" borderId="1" xfId="0" quotePrefix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0" xfId="0" applyFont="1"/>
    <xf numFmtId="0" fontId="3" fillId="0" borderId="2" xfId="0" applyFont="1" applyBorder="1"/>
    <xf numFmtId="9" fontId="3" fillId="0" borderId="0" xfId="0" applyNumberFormat="1" applyFont="1"/>
    <xf numFmtId="2" fontId="3" fillId="0" borderId="0" xfId="0" quotePrefix="1" applyNumberFormat="1" applyFont="1" applyAlignment="1">
      <alignment horizontal="right"/>
    </xf>
    <xf numFmtId="2" fontId="3" fillId="0" borderId="0" xfId="0" applyNumberFormat="1" applyFont="1"/>
    <xf numFmtId="166" fontId="3" fillId="0" borderId="0" xfId="0" quotePrefix="1" applyNumberFormat="1" applyFont="1" applyAlignment="1">
      <alignment horizontal="right"/>
    </xf>
    <xf numFmtId="0" fontId="3" fillId="0" borderId="0" xfId="0" quotePrefix="1" applyFont="1" applyAlignment="1">
      <alignment horizontal="left"/>
    </xf>
    <xf numFmtId="0" fontId="3" fillId="0" borderId="1" xfId="0" quotePrefix="1" applyFont="1" applyBorder="1"/>
    <xf numFmtId="0" fontId="3" fillId="0" borderId="1" xfId="0" applyFont="1" applyBorder="1" applyAlignment="1">
      <alignment horizontal="center"/>
    </xf>
    <xf numFmtId="166" fontId="3" fillId="0" borderId="1" xfId="0" applyNumberFormat="1" applyFont="1" applyBorder="1"/>
    <xf numFmtId="166" fontId="3" fillId="0" borderId="1" xfId="0" quotePrefix="1" applyNumberFormat="1" applyFont="1" applyBorder="1" applyAlignment="1">
      <alignment horizontal="right"/>
    </xf>
    <xf numFmtId="2" fontId="3" fillId="0" borderId="2" xfId="0" quotePrefix="1" applyNumberFormat="1" applyFont="1" applyBorder="1" applyAlignment="1">
      <alignment horizontal="right"/>
    </xf>
    <xf numFmtId="170" fontId="3" fillId="0" borderId="0" xfId="0" applyNumberFormat="1" applyFont="1"/>
    <xf numFmtId="170" fontId="3" fillId="0" borderId="0" xfId="0" quotePrefix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9" fontId="3" fillId="0" borderId="0" xfId="1" applyFont="1"/>
    <xf numFmtId="2" fontId="3" fillId="2" borderId="0" xfId="0" applyNumberFormat="1" applyFont="1" applyFill="1"/>
    <xf numFmtId="9" fontId="3" fillId="2" borderId="0" xfId="0" applyNumberFormat="1" applyFont="1" applyFill="1"/>
    <xf numFmtId="170" fontId="1" fillId="0" borderId="0" xfId="0" applyNumberFormat="1" applyFont="1"/>
    <xf numFmtId="165" fontId="1" fillId="0" borderId="0" xfId="0" applyNumberFormat="1" applyFont="1"/>
    <xf numFmtId="9" fontId="1" fillId="0" borderId="0" xfId="1" applyFont="1"/>
    <xf numFmtId="0" fontId="0" fillId="3" borderId="0" xfId="0" applyFill="1"/>
    <xf numFmtId="0" fontId="8" fillId="3" borderId="0" xfId="0" applyFont="1" applyFill="1"/>
    <xf numFmtId="0" fontId="10" fillId="3" borderId="8" xfId="0" applyFont="1" applyFill="1" applyBorder="1"/>
    <xf numFmtId="2" fontId="10" fillId="3" borderId="9" xfId="0" applyNumberFormat="1" applyFont="1" applyFill="1" applyBorder="1"/>
    <xf numFmtId="0" fontId="10" fillId="3" borderId="5" xfId="0" applyFont="1" applyFill="1" applyBorder="1"/>
    <xf numFmtId="9" fontId="10" fillId="3" borderId="6" xfId="0" applyNumberFormat="1" applyFont="1" applyFill="1" applyBorder="1"/>
    <xf numFmtId="2" fontId="10" fillId="3" borderId="6" xfId="0" applyNumberFormat="1" applyFont="1" applyFill="1" applyBorder="1"/>
    <xf numFmtId="0" fontId="10" fillId="3" borderId="7" xfId="0" applyFont="1" applyFill="1" applyBorder="1"/>
    <xf numFmtId="2" fontId="10" fillId="3" borderId="12" xfId="0" applyNumberFormat="1" applyFont="1" applyFill="1" applyBorder="1" applyAlignment="1">
      <alignment horizontal="right" vertical="center"/>
    </xf>
    <xf numFmtId="164" fontId="10" fillId="3" borderId="9" xfId="2" applyFont="1" applyFill="1" applyBorder="1"/>
    <xf numFmtId="164" fontId="10" fillId="3" borderId="6" xfId="2" applyFont="1" applyFill="1" applyBorder="1"/>
    <xf numFmtId="0" fontId="10" fillId="3" borderId="13" xfId="0" applyFont="1" applyFill="1" applyBorder="1"/>
    <xf numFmtId="169" fontId="10" fillId="3" borderId="14" xfId="0" applyNumberFormat="1" applyFont="1" applyFill="1" applyBorder="1"/>
    <xf numFmtId="0" fontId="10" fillId="3" borderId="15" xfId="0" applyFont="1" applyFill="1" applyBorder="1"/>
    <xf numFmtId="9" fontId="10" fillId="3" borderId="16" xfId="0" applyNumberFormat="1" applyFont="1" applyFill="1" applyBorder="1"/>
    <xf numFmtId="169" fontId="10" fillId="3" borderId="16" xfId="0" applyNumberFormat="1" applyFont="1" applyFill="1" applyBorder="1"/>
    <xf numFmtId="2" fontId="10" fillId="3" borderId="16" xfId="0" applyNumberFormat="1" applyFont="1" applyFill="1" applyBorder="1"/>
    <xf numFmtId="0" fontId="10" fillId="3" borderId="17" xfId="0" applyFont="1" applyFill="1" applyBorder="1"/>
    <xf numFmtId="0" fontId="10" fillId="3" borderId="0" xfId="0" applyFont="1" applyFill="1"/>
    <xf numFmtId="2" fontId="10" fillId="3" borderId="0" xfId="0" applyNumberFormat="1" applyFont="1" applyFill="1"/>
    <xf numFmtId="9" fontId="10" fillId="3" borderId="0" xfId="0" applyNumberFormat="1" applyFont="1" applyFill="1"/>
    <xf numFmtId="2" fontId="10" fillId="3" borderId="0" xfId="0" applyNumberFormat="1" applyFont="1" applyFill="1" applyAlignment="1">
      <alignment horizontal="right" vertical="center"/>
    </xf>
    <xf numFmtId="9" fontId="10" fillId="3" borderId="0" xfId="2" applyNumberFormat="1" applyFont="1" applyFill="1"/>
    <xf numFmtId="169" fontId="10" fillId="3" borderId="0" xfId="0" applyNumberFormat="1" applyFont="1" applyFill="1"/>
    <xf numFmtId="172" fontId="10" fillId="3" borderId="0" xfId="0" applyNumberFormat="1" applyFont="1" applyFill="1"/>
    <xf numFmtId="9" fontId="10" fillId="3" borderId="0" xfId="1" applyFont="1" applyFill="1"/>
    <xf numFmtId="10" fontId="10" fillId="3" borderId="18" xfId="1" applyNumberFormat="1" applyFont="1" applyFill="1" applyBorder="1"/>
    <xf numFmtId="0" fontId="12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2" fillId="3" borderId="1" xfId="0" quotePrefix="1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13" fillId="3" borderId="4" xfId="0" applyNumberFormat="1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3" fillId="3" borderId="3" xfId="0" applyFont="1" applyFill="1" applyBorder="1" applyAlignment="1">
      <alignment horizontal="center"/>
    </xf>
    <xf numFmtId="168" fontId="13" fillId="3" borderId="0" xfId="0" applyNumberFormat="1" applyFont="1" applyFill="1" applyAlignment="1">
      <alignment horizontal="center"/>
    </xf>
    <xf numFmtId="168" fontId="13" fillId="3" borderId="3" xfId="0" applyNumberFormat="1" applyFont="1" applyFill="1" applyBorder="1" applyAlignment="1">
      <alignment horizontal="center"/>
    </xf>
    <xf numFmtId="9" fontId="13" fillId="3" borderId="0" xfId="1" applyFont="1" applyFill="1" applyAlignment="1">
      <alignment horizontal="center"/>
    </xf>
    <xf numFmtId="2" fontId="13" fillId="3" borderId="0" xfId="0" applyNumberFormat="1" applyFont="1" applyFill="1" applyAlignment="1">
      <alignment horizontal="center"/>
    </xf>
    <xf numFmtId="168" fontId="13" fillId="3" borderId="1" xfId="0" applyNumberFormat="1" applyFont="1" applyFill="1" applyBorder="1" applyAlignment="1">
      <alignment horizontal="center"/>
    </xf>
    <xf numFmtId="168" fontId="13" fillId="3" borderId="4" xfId="0" applyNumberFormat="1" applyFont="1" applyFill="1" applyBorder="1" applyAlignment="1">
      <alignment horizontal="center"/>
    </xf>
    <xf numFmtId="165" fontId="13" fillId="3" borderId="1" xfId="0" applyNumberFormat="1" applyFont="1" applyFill="1" applyBorder="1" applyAlignment="1">
      <alignment horizontal="center"/>
    </xf>
    <xf numFmtId="0" fontId="13" fillId="3" borderId="0" xfId="0" quotePrefix="1" applyFont="1" applyFill="1" applyAlignment="1">
      <alignment horizontal="center"/>
    </xf>
    <xf numFmtId="0" fontId="13" fillId="3" borderId="1" xfId="0" applyFont="1" applyFill="1" applyBorder="1" applyAlignment="1">
      <alignment horizontal="center"/>
    </xf>
    <xf numFmtId="169" fontId="13" fillId="3" borderId="0" xfId="0" applyNumberFormat="1" applyFont="1" applyFill="1" applyAlignment="1">
      <alignment horizontal="center"/>
    </xf>
    <xf numFmtId="169" fontId="13" fillId="3" borderId="3" xfId="0" applyNumberFormat="1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168" fontId="13" fillId="3" borderId="19" xfId="0" applyNumberFormat="1" applyFont="1" applyFill="1" applyBorder="1" applyAlignment="1">
      <alignment horizontal="center"/>
    </xf>
    <xf numFmtId="168" fontId="13" fillId="3" borderId="20" xfId="0" applyNumberFormat="1" applyFont="1" applyFill="1" applyBorder="1" applyAlignment="1">
      <alignment horizontal="center"/>
    </xf>
    <xf numFmtId="165" fontId="13" fillId="3" borderId="0" xfId="0" applyNumberFormat="1" applyFont="1" applyFill="1" applyAlignment="1">
      <alignment horizontal="center"/>
    </xf>
    <xf numFmtId="0" fontId="13" fillId="3" borderId="0" xfId="0" applyFont="1" applyFill="1"/>
    <xf numFmtId="0" fontId="14" fillId="3" borderId="0" xfId="0" applyFont="1" applyFill="1"/>
    <xf numFmtId="0" fontId="13" fillId="3" borderId="0" xfId="0" quotePrefix="1" applyFont="1" applyFill="1"/>
    <xf numFmtId="0" fontId="16" fillId="3" borderId="0" xfId="0" applyFont="1" applyFill="1"/>
    <xf numFmtId="0" fontId="17" fillId="3" borderId="0" xfId="0" applyFont="1" applyFill="1"/>
    <xf numFmtId="168" fontId="13" fillId="3" borderId="0" xfId="0" applyNumberFormat="1" applyFont="1" applyFill="1"/>
    <xf numFmtId="0" fontId="13" fillId="3" borderId="21" xfId="0" applyFont="1" applyFill="1" applyBorder="1" applyAlignment="1">
      <alignment horizontal="center"/>
    </xf>
    <xf numFmtId="1" fontId="13" fillId="3" borderId="22" xfId="0" applyNumberFormat="1" applyFont="1" applyFill="1" applyBorder="1" applyAlignment="1">
      <alignment horizontal="center"/>
    </xf>
    <xf numFmtId="168" fontId="13" fillId="3" borderId="21" xfId="0" applyNumberFormat="1" applyFont="1" applyFill="1" applyBorder="1" applyAlignment="1">
      <alignment horizontal="center"/>
    </xf>
    <xf numFmtId="165" fontId="13" fillId="3" borderId="22" xfId="0" applyNumberFormat="1" applyFont="1" applyFill="1" applyBorder="1" applyAlignment="1">
      <alignment horizontal="center"/>
    </xf>
    <xf numFmtId="168" fontId="13" fillId="3" borderId="22" xfId="0" applyNumberFormat="1" applyFont="1" applyFill="1" applyBorder="1" applyAlignment="1">
      <alignment horizontal="center"/>
    </xf>
    <xf numFmtId="169" fontId="13" fillId="3" borderId="21" xfId="0" applyNumberFormat="1" applyFont="1" applyFill="1" applyBorder="1" applyAlignment="1">
      <alignment horizontal="center"/>
    </xf>
    <xf numFmtId="168" fontId="13" fillId="3" borderId="23" xfId="0" applyNumberFormat="1" applyFont="1" applyFill="1" applyBorder="1" applyAlignment="1">
      <alignment horizontal="center"/>
    </xf>
    <xf numFmtId="168" fontId="15" fillId="3" borderId="0" xfId="0" applyNumberFormat="1" applyFont="1" applyFill="1" applyAlignment="1">
      <alignment horizontal="center"/>
    </xf>
    <xf numFmtId="168" fontId="15" fillId="3" borderId="21" xfId="0" applyNumberFormat="1" applyFont="1" applyFill="1" applyBorder="1" applyAlignment="1">
      <alignment horizontal="center"/>
    </xf>
    <xf numFmtId="165" fontId="13" fillId="3" borderId="4" xfId="0" applyNumberFormat="1" applyFont="1" applyFill="1" applyBorder="1" applyAlignment="1">
      <alignment horizontal="center"/>
    </xf>
    <xf numFmtId="168" fontId="15" fillId="3" borderId="3" xfId="0" applyNumberFormat="1" applyFont="1" applyFill="1" applyBorder="1" applyAlignment="1">
      <alignment horizontal="center"/>
    </xf>
    <xf numFmtId="0" fontId="13" fillId="3" borderId="1" xfId="0" quotePrefix="1" applyFont="1" applyFill="1" applyBorder="1" applyAlignment="1">
      <alignment horizontal="center"/>
    </xf>
    <xf numFmtId="168" fontId="13" fillId="3" borderId="24" xfId="0" applyNumberFormat="1" applyFont="1" applyFill="1" applyBorder="1" applyAlignment="1">
      <alignment horizontal="center"/>
    </xf>
    <xf numFmtId="0" fontId="12" fillId="3" borderId="0" xfId="0" applyFont="1" applyFill="1"/>
    <xf numFmtId="0" fontId="12" fillId="3" borderId="1" xfId="0" quotePrefix="1" applyFont="1" applyFill="1" applyBorder="1" applyAlignment="1">
      <alignment horizontal="left"/>
    </xf>
    <xf numFmtId="0" fontId="15" fillId="3" borderId="0" xfId="0" applyFont="1" applyFill="1"/>
    <xf numFmtId="9" fontId="13" fillId="3" borderId="0" xfId="1" applyFont="1" applyFill="1"/>
    <xf numFmtId="165" fontId="13" fillId="3" borderId="0" xfId="0" applyNumberFormat="1" applyFont="1" applyFill="1"/>
    <xf numFmtId="171" fontId="14" fillId="3" borderId="0" xfId="0" applyNumberFormat="1" applyFont="1" applyFill="1" applyAlignment="1">
      <alignment horizontal="center"/>
    </xf>
    <xf numFmtId="171" fontId="14" fillId="3" borderId="0" xfId="0" applyNumberFormat="1" applyFont="1" applyFill="1"/>
    <xf numFmtId="1" fontId="13" fillId="5" borderId="4" xfId="0" applyNumberFormat="1" applyFont="1" applyFill="1" applyBorder="1" applyAlignment="1">
      <alignment horizontal="center"/>
    </xf>
    <xf numFmtId="1" fontId="13" fillId="5" borderId="1" xfId="0" applyNumberFormat="1" applyFont="1" applyFill="1" applyBorder="1" applyAlignment="1">
      <alignment horizontal="center"/>
    </xf>
    <xf numFmtId="168" fontId="15" fillId="3" borderId="0" xfId="0" applyNumberFormat="1" applyFont="1" applyFill="1"/>
    <xf numFmtId="0" fontId="11" fillId="4" borderId="17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tabSelected="1" zoomScale="110" zoomScaleNormal="110" workbookViewId="0">
      <selection activeCell="D21" sqref="D21"/>
    </sheetView>
  </sheetViews>
  <sheetFormatPr defaultRowHeight="16.5"/>
  <cols>
    <col min="1" max="1" width="54.42578125" style="3" customWidth="1"/>
    <col min="2" max="4" width="13.7109375" style="3" customWidth="1"/>
    <col min="5" max="5" width="9.140625" style="3"/>
  </cols>
  <sheetData>
    <row r="1" spans="1:7">
      <c r="A1" s="3" t="s">
        <v>0</v>
      </c>
      <c r="F1" s="1"/>
      <c r="G1" s="1"/>
    </row>
    <row r="2" spans="1:7" ht="17.25">
      <c r="A2" s="5"/>
      <c r="B2" s="6"/>
      <c r="D2" s="7"/>
    </row>
    <row r="3" spans="1:7">
      <c r="A3" s="3" t="s">
        <v>1</v>
      </c>
      <c r="C3" s="6"/>
      <c r="D3" s="6"/>
    </row>
    <row r="5" spans="1:7">
      <c r="A5" s="8" t="s">
        <v>2</v>
      </c>
      <c r="B5" s="16">
        <v>2010</v>
      </c>
      <c r="C5" s="16">
        <v>2011</v>
      </c>
      <c r="D5" s="16">
        <v>2012</v>
      </c>
    </row>
    <row r="7" spans="1:7">
      <c r="A7" s="3" t="s">
        <v>3</v>
      </c>
      <c r="B7" s="9">
        <v>3140</v>
      </c>
      <c r="C7" s="9">
        <v>3138</v>
      </c>
      <c r="D7" s="9">
        <v>3281</v>
      </c>
    </row>
    <row r="8" spans="1:7">
      <c r="A8" s="3" t="s">
        <v>4</v>
      </c>
      <c r="B8" s="10">
        <v>1742</v>
      </c>
      <c r="C8" s="10">
        <v>1751</v>
      </c>
      <c r="D8" s="10">
        <v>1860</v>
      </c>
    </row>
    <row r="9" spans="1:7">
      <c r="A9" s="11" t="s">
        <v>5</v>
      </c>
      <c r="B9" s="9">
        <f t="shared" ref="B9" si="0">B7-B8</f>
        <v>1398</v>
      </c>
      <c r="C9" s="9">
        <f>C7-C8</f>
        <v>1387</v>
      </c>
      <c r="D9" s="9">
        <f>D7-D8</f>
        <v>1421</v>
      </c>
    </row>
    <row r="10" spans="1:7">
      <c r="B10" s="9"/>
      <c r="C10" s="9"/>
      <c r="D10" s="9"/>
    </row>
    <row r="11" spans="1:7">
      <c r="A11" s="3" t="s">
        <v>6</v>
      </c>
      <c r="B11" s="9">
        <v>726</v>
      </c>
      <c r="C11" s="9">
        <v>740</v>
      </c>
      <c r="D11" s="9">
        <v>769</v>
      </c>
    </row>
    <row r="12" spans="1:7">
      <c r="A12" s="3" t="s">
        <v>7</v>
      </c>
      <c r="B12" s="10">
        <v>67</v>
      </c>
      <c r="C12" s="10">
        <v>72</v>
      </c>
      <c r="D12" s="10">
        <v>78</v>
      </c>
    </row>
    <row r="13" spans="1:7">
      <c r="A13" s="11" t="s">
        <v>8</v>
      </c>
      <c r="B13" s="9">
        <f t="shared" ref="B13" si="1">B9-B11-B12</f>
        <v>605</v>
      </c>
      <c r="C13" s="9">
        <f>C9-C11-C12</f>
        <v>575</v>
      </c>
      <c r="D13" s="9">
        <f>D9-D11-D12</f>
        <v>574</v>
      </c>
    </row>
    <row r="14" spans="1:7">
      <c r="B14" s="9"/>
      <c r="C14" s="9"/>
      <c r="D14" s="9"/>
    </row>
    <row r="15" spans="1:7">
      <c r="A15" s="3" t="s">
        <v>9</v>
      </c>
      <c r="B15" s="10">
        <v>83</v>
      </c>
      <c r="C15" s="10">
        <v>70</v>
      </c>
      <c r="D15" s="10">
        <v>76</v>
      </c>
    </row>
    <row r="16" spans="1:7">
      <c r="A16" s="11" t="s">
        <v>10</v>
      </c>
      <c r="B16" s="9">
        <f t="shared" ref="B16" si="2">B13-B15</f>
        <v>522</v>
      </c>
      <c r="C16" s="9">
        <f>C13-C15</f>
        <v>505</v>
      </c>
      <c r="D16" s="9">
        <f>D13-D15</f>
        <v>498</v>
      </c>
    </row>
    <row r="17" spans="1:4">
      <c r="B17" s="9"/>
      <c r="C17" s="9"/>
      <c r="D17" s="9"/>
    </row>
    <row r="18" spans="1:4">
      <c r="A18" s="3" t="s">
        <v>11</v>
      </c>
      <c r="B18" s="10">
        <v>178</v>
      </c>
      <c r="C18" s="10">
        <v>171</v>
      </c>
      <c r="D18" s="10">
        <v>175</v>
      </c>
    </row>
    <row r="19" spans="1:4">
      <c r="A19" s="11" t="s">
        <v>12</v>
      </c>
      <c r="B19" s="9">
        <f>B16-B18</f>
        <v>344</v>
      </c>
      <c r="C19" s="9">
        <f>C16-C18</f>
        <v>334</v>
      </c>
      <c r="D19" s="9">
        <f>D16-D18</f>
        <v>323</v>
      </c>
    </row>
    <row r="20" spans="1:4">
      <c r="B20" s="9"/>
      <c r="C20" s="9"/>
      <c r="D20" s="9"/>
    </row>
    <row r="21" spans="1:4">
      <c r="A21" s="3" t="s">
        <v>13</v>
      </c>
      <c r="B21" s="12">
        <v>84160</v>
      </c>
      <c r="C21" s="12">
        <v>81520</v>
      </c>
      <c r="D21" s="12">
        <v>79508</v>
      </c>
    </row>
    <row r="22" spans="1:4">
      <c r="A22" s="3" t="s">
        <v>14</v>
      </c>
      <c r="B22" s="13">
        <f>(B19/B21)*1000</f>
        <v>4.0874524714828899</v>
      </c>
      <c r="C22" s="13">
        <f>(C19/C21)*1000</f>
        <v>4.0971540726202162</v>
      </c>
      <c r="D22" s="13">
        <f>(D19/D21)*1000</f>
        <v>4.0624842783116168</v>
      </c>
    </row>
    <row r="23" spans="1:4">
      <c r="A23" s="3" t="s">
        <v>15</v>
      </c>
      <c r="B23" s="13">
        <v>2.44</v>
      </c>
      <c r="C23" s="13">
        <v>2.44</v>
      </c>
      <c r="D23" s="13">
        <v>2.44</v>
      </c>
    </row>
    <row r="24" spans="1:4">
      <c r="B24" s="13"/>
      <c r="C24" s="13"/>
      <c r="D24" s="13"/>
    </row>
    <row r="25" spans="1:4">
      <c r="A25" s="3" t="s">
        <v>16</v>
      </c>
      <c r="B25" s="13">
        <v>58.79</v>
      </c>
      <c r="C25" s="13">
        <v>63.78</v>
      </c>
      <c r="D25" s="13">
        <v>65.459999999999994</v>
      </c>
    </row>
    <row r="26" spans="1:4">
      <c r="A26" s="3" t="s">
        <v>17</v>
      </c>
      <c r="B26" s="14">
        <f>B25/B22</f>
        <v>14.383041860465115</v>
      </c>
      <c r="C26" s="14">
        <f>C25/C22</f>
        <v>15.566902994011976</v>
      </c>
      <c r="D26" s="14">
        <f>D25/D22</f>
        <v>16.11329312693498</v>
      </c>
    </row>
    <row r="27" spans="1:4">
      <c r="A27" s="3" t="s">
        <v>18</v>
      </c>
      <c r="B27" s="9"/>
      <c r="C27" s="9"/>
      <c r="D27" s="15">
        <v>0.4</v>
      </c>
    </row>
    <row r="28" spans="1:4">
      <c r="B28" s="9"/>
      <c r="C28" s="9"/>
      <c r="D28" s="9"/>
    </row>
    <row r="29" spans="1:4">
      <c r="B29" s="9"/>
      <c r="C29" s="9"/>
      <c r="D29" s="9"/>
    </row>
    <row r="30" spans="1:4">
      <c r="B30" s="9"/>
      <c r="C30" s="9"/>
      <c r="D30" s="9"/>
    </row>
    <row r="31" spans="1:4">
      <c r="B31" s="9"/>
      <c r="C31" s="9"/>
      <c r="D31" s="9"/>
    </row>
    <row r="32" spans="1:4">
      <c r="B32" s="9"/>
      <c r="C32" s="9"/>
      <c r="D32" s="9"/>
    </row>
    <row r="33" spans="2:4">
      <c r="B33" s="9"/>
      <c r="C33" s="9"/>
      <c r="D33" s="9"/>
    </row>
    <row r="34" spans="2:4">
      <c r="B34" s="9"/>
      <c r="C34" s="9"/>
      <c r="D34" s="9"/>
    </row>
    <row r="35" spans="2:4">
      <c r="B35" s="9"/>
      <c r="C35" s="9"/>
      <c r="D35" s="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workbookViewId="0"/>
  </sheetViews>
  <sheetFormatPr defaultRowHeight="16.5"/>
  <cols>
    <col min="1" max="1" width="42.85546875" style="3" customWidth="1"/>
    <col min="2" max="4" width="13.7109375" style="3" customWidth="1"/>
    <col min="5" max="8" width="9.140625" style="2"/>
  </cols>
  <sheetData>
    <row r="1" spans="1:8">
      <c r="A1" s="3" t="s">
        <v>0</v>
      </c>
      <c r="E1" s="1"/>
      <c r="F1" s="1"/>
      <c r="G1" s="1"/>
      <c r="H1" s="1"/>
    </row>
    <row r="2" spans="1:8">
      <c r="B2" s="6"/>
      <c r="D2" s="4"/>
    </row>
    <row r="3" spans="1:8">
      <c r="A3" s="3" t="s">
        <v>19</v>
      </c>
      <c r="C3" s="6"/>
    </row>
    <row r="5" spans="1:8">
      <c r="A5" s="8" t="s">
        <v>2</v>
      </c>
      <c r="B5" s="16">
        <v>2010</v>
      </c>
      <c r="C5" s="16">
        <v>2011</v>
      </c>
      <c r="D5" s="16">
        <v>2012</v>
      </c>
    </row>
    <row r="6" spans="1:8">
      <c r="A6" s="3" t="s">
        <v>20</v>
      </c>
    </row>
    <row r="7" spans="1:8">
      <c r="A7" s="3" t="s">
        <v>21</v>
      </c>
      <c r="B7" s="9"/>
      <c r="C7" s="9"/>
      <c r="D7" s="9"/>
    </row>
    <row r="8" spans="1:8">
      <c r="A8" s="3" t="s">
        <v>22</v>
      </c>
      <c r="B8" s="9">
        <v>202</v>
      </c>
      <c r="C8" s="9">
        <v>305</v>
      </c>
      <c r="D8" s="9">
        <v>346</v>
      </c>
    </row>
    <row r="9" spans="1:8">
      <c r="A9" s="11" t="s">
        <v>23</v>
      </c>
      <c r="B9" s="9">
        <v>324</v>
      </c>
      <c r="C9" s="9">
        <v>315</v>
      </c>
      <c r="D9" s="9">
        <v>346</v>
      </c>
    </row>
    <row r="10" spans="1:8">
      <c r="A10" s="3" t="s">
        <v>24</v>
      </c>
      <c r="B10" s="9">
        <v>199</v>
      </c>
      <c r="C10" s="9">
        <v>229</v>
      </c>
      <c r="D10" s="9">
        <v>231</v>
      </c>
    </row>
    <row r="11" spans="1:8">
      <c r="A11" s="3" t="s">
        <v>25</v>
      </c>
      <c r="B11" s="10">
        <v>318</v>
      </c>
      <c r="C11" s="10">
        <v>91</v>
      </c>
      <c r="D11" s="10">
        <v>96</v>
      </c>
    </row>
    <row r="12" spans="1:8">
      <c r="A12" s="11" t="s">
        <v>26</v>
      </c>
      <c r="B12" s="9">
        <f t="shared" ref="B12" si="0">B11+B10+B9+B8</f>
        <v>1043</v>
      </c>
      <c r="C12" s="9">
        <f>C11+C10+C9+C8</f>
        <v>940</v>
      </c>
      <c r="D12" s="9">
        <f>D11+D10+D9+D8</f>
        <v>1019</v>
      </c>
    </row>
    <row r="13" spans="1:8">
      <c r="A13" s="11"/>
      <c r="B13" s="9"/>
      <c r="C13" s="9"/>
      <c r="D13" s="9"/>
    </row>
    <row r="14" spans="1:8">
      <c r="A14" s="3" t="s">
        <v>27</v>
      </c>
      <c r="B14" s="9">
        <v>580</v>
      </c>
      <c r="C14" s="9">
        <v>653</v>
      </c>
      <c r="D14" s="9">
        <v>669</v>
      </c>
    </row>
    <row r="15" spans="1:8">
      <c r="A15" s="3" t="s">
        <v>28</v>
      </c>
      <c r="B15" s="9">
        <v>1019</v>
      </c>
      <c r="C15" s="9">
        <v>903</v>
      </c>
      <c r="D15" s="9">
        <v>912</v>
      </c>
    </row>
    <row r="16" spans="1:8">
      <c r="A16" s="11" t="s">
        <v>29</v>
      </c>
      <c r="B16" s="10">
        <v>86</v>
      </c>
      <c r="C16" s="10">
        <v>91</v>
      </c>
      <c r="D16" s="10">
        <v>86</v>
      </c>
    </row>
    <row r="17" spans="1:4">
      <c r="A17" s="11" t="s">
        <v>30</v>
      </c>
      <c r="B17" s="9">
        <f t="shared" ref="B17" si="1">B12+B14+B15+B16</f>
        <v>2728</v>
      </c>
      <c r="C17" s="9">
        <f>C12+C14+C15+C16</f>
        <v>2587</v>
      </c>
      <c r="D17" s="9">
        <f>D12+D14+D15+D16</f>
        <v>2686</v>
      </c>
    </row>
    <row r="18" spans="1:4">
      <c r="B18" s="9"/>
      <c r="C18" s="9"/>
      <c r="D18" s="9"/>
    </row>
    <row r="19" spans="1:4">
      <c r="A19" s="3" t="s">
        <v>31</v>
      </c>
      <c r="B19" s="9"/>
      <c r="C19" s="9"/>
      <c r="D19" s="9"/>
    </row>
    <row r="20" spans="1:4">
      <c r="A20" s="11" t="s">
        <v>32</v>
      </c>
      <c r="B20" s="9"/>
      <c r="C20" s="9"/>
      <c r="D20" s="9"/>
    </row>
    <row r="21" spans="1:4">
      <c r="A21" s="3" t="s">
        <v>33</v>
      </c>
      <c r="B21" s="9">
        <v>245</v>
      </c>
      <c r="C21" s="9">
        <v>254</v>
      </c>
      <c r="D21" s="9">
        <v>243</v>
      </c>
    </row>
    <row r="22" spans="1:4">
      <c r="A22" s="11" t="s">
        <v>34</v>
      </c>
      <c r="B22" s="9">
        <v>222</v>
      </c>
      <c r="C22" s="9">
        <v>275</v>
      </c>
      <c r="D22" s="9">
        <v>181</v>
      </c>
    </row>
    <row r="23" spans="1:4">
      <c r="A23" s="3" t="s">
        <v>35</v>
      </c>
      <c r="B23" s="10">
        <v>339</v>
      </c>
      <c r="C23" s="10">
        <v>290</v>
      </c>
      <c r="D23" s="10">
        <v>299</v>
      </c>
    </row>
    <row r="24" spans="1:4">
      <c r="A24" s="11" t="s">
        <v>36</v>
      </c>
      <c r="B24" s="9">
        <f t="shared" ref="B24" si="2">B23+B22+B21</f>
        <v>806</v>
      </c>
      <c r="C24" s="9">
        <f>C23+C22+C21</f>
        <v>819</v>
      </c>
      <c r="D24" s="9">
        <f>D23+D22+D21</f>
        <v>723</v>
      </c>
    </row>
    <row r="25" spans="1:4">
      <c r="A25" s="11"/>
      <c r="B25" s="9"/>
      <c r="C25" s="9"/>
      <c r="D25" s="9"/>
    </row>
    <row r="26" spans="1:4">
      <c r="A26" s="11" t="s">
        <v>37</v>
      </c>
      <c r="B26" s="9">
        <v>1274</v>
      </c>
      <c r="C26" s="9">
        <v>1106</v>
      </c>
      <c r="D26" s="9">
        <v>1257</v>
      </c>
    </row>
    <row r="27" spans="1:4">
      <c r="A27" s="3" t="s">
        <v>38</v>
      </c>
      <c r="B27" s="10">
        <v>418</v>
      </c>
      <c r="C27" s="10">
        <v>455</v>
      </c>
      <c r="D27" s="10">
        <v>497</v>
      </c>
    </row>
    <row r="28" spans="1:4">
      <c r="A28" s="11" t="s">
        <v>39</v>
      </c>
      <c r="B28" s="9">
        <f t="shared" ref="B28" si="3">B27+B26+B24</f>
        <v>2498</v>
      </c>
      <c r="C28" s="9">
        <f>C27+C26+C24</f>
        <v>2380</v>
      </c>
      <c r="D28" s="9">
        <f>D27+D26+D24</f>
        <v>2477</v>
      </c>
    </row>
    <row r="29" spans="1:4">
      <c r="B29" s="9"/>
      <c r="C29" s="9"/>
      <c r="D29" s="9"/>
    </row>
    <row r="30" spans="1:4">
      <c r="A30" s="3" t="s">
        <v>40</v>
      </c>
      <c r="B30" s="9"/>
      <c r="C30" s="9"/>
      <c r="D30" s="9"/>
    </row>
    <row r="31" spans="1:4">
      <c r="A31" s="3" t="s">
        <v>41</v>
      </c>
      <c r="B31" s="9">
        <v>466</v>
      </c>
      <c r="C31" s="9">
        <v>474</v>
      </c>
      <c r="D31" s="9">
        <v>478</v>
      </c>
    </row>
    <row r="32" spans="1:4">
      <c r="A32" s="3" t="s">
        <v>42</v>
      </c>
      <c r="B32" s="9">
        <v>2552</v>
      </c>
      <c r="C32" s="9">
        <v>2687</v>
      </c>
      <c r="D32" s="9">
        <v>2816</v>
      </c>
    </row>
    <row r="33" spans="1:4">
      <c r="A33" s="3" t="s">
        <v>43</v>
      </c>
      <c r="B33" s="10">
        <v>-2788</v>
      </c>
      <c r="C33" s="10">
        <v>-2954</v>
      </c>
      <c r="D33" s="10">
        <v>-3085</v>
      </c>
    </row>
    <row r="34" spans="1:4">
      <c r="A34" s="11" t="s">
        <v>44</v>
      </c>
      <c r="B34" s="9">
        <f>B31+B32+B33</f>
        <v>230</v>
      </c>
      <c r="C34" s="9">
        <f>C31+C32+C33</f>
        <v>207</v>
      </c>
      <c r="D34" s="9">
        <f>D31+D32+D33</f>
        <v>209</v>
      </c>
    </row>
    <row r="35" spans="1:4">
      <c r="B35" s="9"/>
      <c r="C35" s="9"/>
      <c r="D35" s="9"/>
    </row>
    <row r="36" spans="1:4">
      <c r="A36" s="11" t="s">
        <v>45</v>
      </c>
      <c r="B36" s="9">
        <f>B34+B28</f>
        <v>2728</v>
      </c>
      <c r="C36" s="9">
        <f>C34+C28</f>
        <v>2587</v>
      </c>
      <c r="D36" s="9">
        <f>D34+D28</f>
        <v>2686</v>
      </c>
    </row>
    <row r="37" spans="1:4">
      <c r="B37" s="9"/>
      <c r="C37" s="9"/>
      <c r="D37" s="9"/>
    </row>
  </sheetData>
  <pageMargins left="0.7" right="0.7" top="0.75" bottom="0.75" header="0" footer="0"/>
  <pageSetup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workbookViewId="0">
      <selection activeCell="E15" sqref="E15"/>
    </sheetView>
  </sheetViews>
  <sheetFormatPr defaultRowHeight="16.5"/>
  <cols>
    <col min="1" max="1" width="53.85546875" style="3" customWidth="1"/>
    <col min="2" max="4" width="13.7109375" style="3" customWidth="1"/>
    <col min="5" max="5" width="9.140625" style="3"/>
  </cols>
  <sheetData>
    <row r="1" spans="1:8">
      <c r="A1" s="3" t="s">
        <v>0</v>
      </c>
      <c r="F1" s="1"/>
      <c r="G1" s="1"/>
      <c r="H1" s="1"/>
    </row>
    <row r="2" spans="1:8" ht="17.25">
      <c r="A2" s="23"/>
    </row>
    <row r="3" spans="1:8">
      <c r="A3" s="3" t="s">
        <v>46</v>
      </c>
    </row>
    <row r="5" spans="1:8">
      <c r="A5" s="24" t="s">
        <v>2</v>
      </c>
      <c r="B5" s="16">
        <v>2010</v>
      </c>
      <c r="C5" s="16">
        <v>2011</v>
      </c>
      <c r="D5" s="16">
        <v>2012</v>
      </c>
    </row>
    <row r="6" spans="1:8">
      <c r="A6" s="17"/>
      <c r="B6" s="18" t="s">
        <v>47</v>
      </c>
      <c r="C6" s="18" t="s">
        <v>47</v>
      </c>
      <c r="D6" s="18" t="s">
        <v>47</v>
      </c>
    </row>
    <row r="7" spans="1:8">
      <c r="A7" s="25" t="s">
        <v>3</v>
      </c>
      <c r="B7" s="19">
        <v>1396</v>
      </c>
      <c r="C7" s="19">
        <v>1622</v>
      </c>
      <c r="D7" s="19">
        <v>1756</v>
      </c>
    </row>
    <row r="8" spans="1:8">
      <c r="A8" s="17" t="s">
        <v>4</v>
      </c>
      <c r="B8" s="20">
        <v>408</v>
      </c>
      <c r="C8" s="20">
        <v>481</v>
      </c>
      <c r="D8" s="20">
        <v>581</v>
      </c>
    </row>
    <row r="9" spans="1:8">
      <c r="A9" s="26" t="s">
        <v>5</v>
      </c>
      <c r="B9" s="19">
        <f>B7-B8</f>
        <v>988</v>
      </c>
      <c r="C9" s="19">
        <f>C7-C8</f>
        <v>1141</v>
      </c>
      <c r="D9" s="19">
        <f>D7-D8</f>
        <v>1175</v>
      </c>
    </row>
    <row r="10" spans="1:8">
      <c r="A10" s="17"/>
      <c r="B10" s="19" t="s">
        <v>47</v>
      </c>
      <c r="C10" s="19" t="s">
        <v>47</v>
      </c>
      <c r="D10" s="19" t="s">
        <v>47</v>
      </c>
    </row>
    <row r="11" spans="1:8">
      <c r="A11" s="25" t="s">
        <v>6</v>
      </c>
      <c r="B11" s="19">
        <v>534</v>
      </c>
      <c r="C11" s="19">
        <v>630</v>
      </c>
      <c r="D11" s="19">
        <v>671</v>
      </c>
    </row>
    <row r="12" spans="1:8">
      <c r="A12" s="25" t="s">
        <v>7</v>
      </c>
      <c r="B12" s="20">
        <v>127</v>
      </c>
      <c r="C12" s="20">
        <v>144</v>
      </c>
      <c r="D12" s="20">
        <v>154</v>
      </c>
    </row>
    <row r="13" spans="1:8">
      <c r="A13" s="26" t="s">
        <v>8</v>
      </c>
      <c r="B13" s="19">
        <f>B9-B11-B12</f>
        <v>327</v>
      </c>
      <c r="C13" s="19">
        <f>C9-C11-C12</f>
        <v>367</v>
      </c>
      <c r="D13" s="19">
        <f>D9-D11-D12</f>
        <v>350</v>
      </c>
    </row>
    <row r="14" spans="1:8">
      <c r="A14" s="25"/>
      <c r="B14" s="19"/>
      <c r="C14" s="19"/>
      <c r="D14" s="19"/>
    </row>
    <row r="15" spans="1:8">
      <c r="A15" s="25" t="s">
        <v>9</v>
      </c>
      <c r="B15" s="20">
        <v>0</v>
      </c>
      <c r="C15" s="20">
        <v>0</v>
      </c>
      <c r="D15" s="20">
        <v>0</v>
      </c>
    </row>
    <row r="16" spans="1:8">
      <c r="A16" s="26" t="s">
        <v>10</v>
      </c>
      <c r="B16" s="19">
        <f>B13-B15</f>
        <v>327</v>
      </c>
      <c r="C16" s="19">
        <f>C13-C15</f>
        <v>367</v>
      </c>
      <c r="D16" s="19">
        <f>D13-D15</f>
        <v>350</v>
      </c>
    </row>
    <row r="17" spans="1:4">
      <c r="A17" s="17"/>
      <c r="B17" s="19"/>
      <c r="C17" s="19"/>
      <c r="D17" s="19"/>
    </row>
    <row r="18" spans="1:4">
      <c r="A18" s="25" t="s">
        <v>48</v>
      </c>
      <c r="B18" s="20">
        <v>91</v>
      </c>
      <c r="C18" s="20">
        <v>101</v>
      </c>
      <c r="D18" s="20">
        <v>93</v>
      </c>
    </row>
    <row r="19" spans="1:4">
      <c r="A19" s="26" t="s">
        <v>12</v>
      </c>
      <c r="B19" s="19">
        <f>B16-B18</f>
        <v>236</v>
      </c>
      <c r="C19" s="19">
        <f>C16-C18</f>
        <v>266</v>
      </c>
      <c r="D19" s="19">
        <f>D16-D18</f>
        <v>257</v>
      </c>
    </row>
    <row r="20" spans="1:4">
      <c r="A20" s="26"/>
      <c r="B20" s="19"/>
      <c r="C20" s="21"/>
      <c r="D20" s="21"/>
    </row>
    <row r="21" spans="1:4">
      <c r="A21" s="3" t="s">
        <v>13</v>
      </c>
      <c r="B21" s="41">
        <v>113607</v>
      </c>
      <c r="C21" s="21">
        <v>117538</v>
      </c>
      <c r="D21" s="21">
        <v>118618</v>
      </c>
    </row>
    <row r="22" spans="1:4">
      <c r="A22" s="3" t="s">
        <v>14</v>
      </c>
      <c r="B22" s="22">
        <f>B19/(B21/1000)</f>
        <v>2.0773367838249404</v>
      </c>
      <c r="C22" s="22">
        <f>C19/(C21/1000)</f>
        <v>2.2630978917456481</v>
      </c>
      <c r="D22" s="22">
        <f>D19/(D21/1000)</f>
        <v>2.1666188942656257</v>
      </c>
    </row>
    <row r="24" spans="1:4">
      <c r="A24" s="3" t="s">
        <v>16</v>
      </c>
      <c r="B24" s="13">
        <v>31.37</v>
      </c>
      <c r="C24" s="13">
        <v>36.479999999999997</v>
      </c>
      <c r="D24" s="13">
        <v>35.24</v>
      </c>
    </row>
    <row r="25" spans="1:4">
      <c r="A25" s="3" t="s">
        <v>17</v>
      </c>
      <c r="B25" s="14">
        <f>B24/B22</f>
        <v>15.101066059322035</v>
      </c>
      <c r="C25" s="14">
        <f>C24/C22</f>
        <v>16.119497142857142</v>
      </c>
      <c r="D25" s="14">
        <f>D24/D22</f>
        <v>16.264974007782104</v>
      </c>
    </row>
    <row r="26" spans="1:4">
      <c r="A26" s="3" t="s">
        <v>18</v>
      </c>
      <c r="B26" s="9"/>
      <c r="C26" s="9"/>
      <c r="D26" s="15">
        <v>0.97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topLeftCell="A28" workbookViewId="0">
      <selection activeCell="D40" sqref="D40"/>
    </sheetView>
  </sheetViews>
  <sheetFormatPr defaultRowHeight="16.5"/>
  <cols>
    <col min="1" max="1" width="42.85546875" style="3" customWidth="1"/>
    <col min="2" max="4" width="13.7109375" style="3" customWidth="1"/>
  </cols>
  <sheetData>
    <row r="1" spans="1:8">
      <c r="A1" s="3" t="s">
        <v>0</v>
      </c>
      <c r="E1" s="1"/>
      <c r="F1" s="1"/>
      <c r="G1" s="1"/>
      <c r="H1" s="1"/>
    </row>
    <row r="2" spans="1:8">
      <c r="A2" s="27"/>
    </row>
    <row r="3" spans="1:8">
      <c r="A3" s="3" t="s">
        <v>49</v>
      </c>
    </row>
    <row r="5" spans="1:8">
      <c r="A5" s="24" t="s">
        <v>2</v>
      </c>
      <c r="B5" s="16">
        <v>2010</v>
      </c>
      <c r="C5" s="16">
        <v>2011</v>
      </c>
      <c r="D5" s="16">
        <v>2012</v>
      </c>
    </row>
    <row r="6" spans="1:8">
      <c r="A6" s="25" t="s">
        <v>20</v>
      </c>
      <c r="C6" s="18" t="s">
        <v>47</v>
      </c>
      <c r="D6" s="18" t="s">
        <v>47</v>
      </c>
    </row>
    <row r="7" spans="1:8">
      <c r="A7" s="17" t="s">
        <v>21</v>
      </c>
      <c r="C7" s="18" t="s">
        <v>47</v>
      </c>
      <c r="D7" s="18" t="s">
        <v>47</v>
      </c>
    </row>
    <row r="8" spans="1:8">
      <c r="A8" s="25" t="s">
        <v>22</v>
      </c>
      <c r="B8" s="19">
        <v>109</v>
      </c>
      <c r="C8" s="19">
        <v>306</v>
      </c>
      <c r="D8" s="19">
        <v>541</v>
      </c>
    </row>
    <row r="9" spans="1:8">
      <c r="A9" s="25" t="s">
        <v>23</v>
      </c>
      <c r="B9" s="19">
        <v>202</v>
      </c>
      <c r="C9" s="19">
        <v>247</v>
      </c>
      <c r="D9" s="19">
        <v>256</v>
      </c>
    </row>
    <row r="10" spans="1:8">
      <c r="A10" s="25" t="s">
        <v>24</v>
      </c>
      <c r="B10" s="19">
        <v>126</v>
      </c>
      <c r="C10" s="19">
        <v>180</v>
      </c>
      <c r="D10" s="19">
        <v>184</v>
      </c>
    </row>
    <row r="11" spans="1:8">
      <c r="A11" s="25" t="s">
        <v>25</v>
      </c>
      <c r="B11" s="20">
        <v>73</v>
      </c>
      <c r="C11" s="20">
        <v>86</v>
      </c>
      <c r="D11" s="20">
        <v>93</v>
      </c>
    </row>
    <row r="12" spans="1:8">
      <c r="A12" s="26" t="s">
        <v>26</v>
      </c>
      <c r="B12" s="19">
        <f>SUM(B8:B11)</f>
        <v>510</v>
      </c>
      <c r="C12" s="19">
        <f>SUM(C8:C11)</f>
        <v>819</v>
      </c>
      <c r="D12" s="19">
        <f>SUM(D8:D11)</f>
        <v>1074</v>
      </c>
    </row>
    <row r="13" spans="1:8">
      <c r="A13" s="17"/>
      <c r="B13" s="19"/>
      <c r="C13" s="19"/>
      <c r="D13" s="19"/>
    </row>
    <row r="14" spans="1:8">
      <c r="A14" s="25" t="s">
        <v>27</v>
      </c>
      <c r="B14" s="19">
        <v>101</v>
      </c>
      <c r="C14" s="19">
        <v>187</v>
      </c>
      <c r="D14" s="19">
        <v>216</v>
      </c>
    </row>
    <row r="15" spans="1:8">
      <c r="A15" s="17" t="s">
        <v>50</v>
      </c>
      <c r="B15" s="19">
        <v>41</v>
      </c>
      <c r="C15" s="19">
        <v>44</v>
      </c>
      <c r="D15" s="19">
        <v>53</v>
      </c>
    </row>
    <row r="16" spans="1:8">
      <c r="A16" s="17" t="s">
        <v>29</v>
      </c>
      <c r="B16" s="20">
        <v>66</v>
      </c>
      <c r="C16" s="20">
        <v>71</v>
      </c>
      <c r="D16" s="20">
        <v>97</v>
      </c>
    </row>
    <row r="17" spans="1:4">
      <c r="A17" s="26" t="s">
        <v>30</v>
      </c>
      <c r="B17" s="19">
        <f>SUM(B12:B16)</f>
        <v>718</v>
      </c>
      <c r="C17" s="19">
        <f>SUM(C12:C16)</f>
        <v>1121</v>
      </c>
      <c r="D17" s="19">
        <f>SUM(D12:D16)</f>
        <v>1440</v>
      </c>
    </row>
    <row r="18" spans="1:4">
      <c r="A18" s="17"/>
      <c r="B18" s="19"/>
      <c r="C18" s="19"/>
      <c r="D18" s="19"/>
    </row>
    <row r="19" spans="1:4">
      <c r="A19" s="25" t="s">
        <v>51</v>
      </c>
      <c r="B19" s="19" t="s">
        <v>47</v>
      </c>
      <c r="C19" s="19" t="s">
        <v>47</v>
      </c>
      <c r="D19" s="19" t="s">
        <v>47</v>
      </c>
    </row>
    <row r="20" spans="1:4">
      <c r="A20" s="17" t="s">
        <v>32</v>
      </c>
      <c r="B20" s="19" t="s">
        <v>47</v>
      </c>
      <c r="C20" s="19" t="s">
        <v>47</v>
      </c>
      <c r="D20" s="19" t="s">
        <v>47</v>
      </c>
    </row>
    <row r="21" spans="1:4">
      <c r="A21" s="25" t="s">
        <v>33</v>
      </c>
      <c r="B21" s="19">
        <v>67</v>
      </c>
      <c r="C21" s="19">
        <v>89</v>
      </c>
      <c r="D21" s="19">
        <v>113</v>
      </c>
    </row>
    <row r="22" spans="1:4">
      <c r="A22" s="25" t="s">
        <v>35</v>
      </c>
      <c r="B22" s="20">
        <v>112</v>
      </c>
      <c r="C22" s="20">
        <v>137</v>
      </c>
      <c r="D22" s="20">
        <v>148</v>
      </c>
    </row>
    <row r="23" spans="1:4">
      <c r="A23" s="26" t="s">
        <v>36</v>
      </c>
      <c r="B23" s="19">
        <f>B22+B21</f>
        <v>179</v>
      </c>
      <c r="C23" s="19">
        <f>C22+C21</f>
        <v>226</v>
      </c>
      <c r="D23" s="19">
        <f>D22+D21</f>
        <v>261</v>
      </c>
    </row>
    <row r="24" spans="1:4">
      <c r="A24" s="26"/>
      <c r="B24" s="19"/>
      <c r="C24" s="19"/>
      <c r="D24" s="19"/>
    </row>
    <row r="25" spans="1:4">
      <c r="A25" s="17" t="s">
        <v>37</v>
      </c>
      <c r="B25" s="19">
        <v>1</v>
      </c>
      <c r="C25" s="19">
        <v>1</v>
      </c>
      <c r="D25" s="19">
        <v>0</v>
      </c>
    </row>
    <row r="26" spans="1:4">
      <c r="A26" s="17" t="s">
        <v>38</v>
      </c>
      <c r="B26" s="20">
        <v>27</v>
      </c>
      <c r="C26" s="20">
        <v>40</v>
      </c>
      <c r="D26" s="20">
        <v>46</v>
      </c>
    </row>
    <row r="27" spans="1:4">
      <c r="A27" s="33" t="s">
        <v>39</v>
      </c>
      <c r="B27" s="19">
        <f>B26+B25+B23</f>
        <v>207</v>
      </c>
      <c r="C27" s="19">
        <f>C26+C25+C23</f>
        <v>267</v>
      </c>
      <c r="D27" s="19">
        <f>D26+D25+D23</f>
        <v>307</v>
      </c>
    </row>
    <row r="28" spans="1:4">
      <c r="A28" s="17"/>
      <c r="B28" s="19" t="s">
        <v>47</v>
      </c>
      <c r="C28" s="19" t="s">
        <v>47</v>
      </c>
      <c r="D28" s="19" t="s">
        <v>47</v>
      </c>
    </row>
    <row r="29" spans="1:4">
      <c r="A29" s="25" t="s">
        <v>52</v>
      </c>
      <c r="B29" s="19" t="s">
        <v>47</v>
      </c>
      <c r="C29" s="19" t="s">
        <v>47</v>
      </c>
      <c r="D29" s="19" t="s">
        <v>47</v>
      </c>
    </row>
    <row r="30" spans="1:4">
      <c r="A30" s="25" t="s">
        <v>41</v>
      </c>
      <c r="B30" s="19">
        <v>347</v>
      </c>
      <c r="C30" s="19">
        <v>424</v>
      </c>
      <c r="D30" s="19">
        <v>446</v>
      </c>
    </row>
    <row r="31" spans="1:4">
      <c r="A31" s="25" t="s">
        <v>42</v>
      </c>
      <c r="B31" s="19">
        <v>249</v>
      </c>
      <c r="C31" s="19">
        <v>515</v>
      </c>
      <c r="D31" s="19">
        <v>772</v>
      </c>
    </row>
    <row r="32" spans="1:4">
      <c r="A32" s="17" t="s">
        <v>43</v>
      </c>
      <c r="B32" s="20">
        <v>-85</v>
      </c>
      <c r="C32" s="20">
        <v>-85</v>
      </c>
      <c r="D32" s="20">
        <v>-85</v>
      </c>
    </row>
    <row r="33" spans="1:4">
      <c r="A33" s="26" t="s">
        <v>53</v>
      </c>
      <c r="B33" s="19">
        <f>B32+B31+B30</f>
        <v>511</v>
      </c>
      <c r="C33" s="19">
        <f>C32+C31+C30</f>
        <v>854</v>
      </c>
      <c r="D33" s="19">
        <f>D32+D31+D30</f>
        <v>1133</v>
      </c>
    </row>
    <row r="34" spans="1:4">
      <c r="A34" s="26"/>
      <c r="B34" s="19"/>
      <c r="C34" s="19"/>
      <c r="D34" s="19"/>
    </row>
    <row r="35" spans="1:4">
      <c r="A35" s="26" t="s">
        <v>45</v>
      </c>
      <c r="B35" s="19">
        <f>B33+B27</f>
        <v>718</v>
      </c>
      <c r="C35" s="19">
        <f>C33+C27</f>
        <v>1121</v>
      </c>
      <c r="D35" s="19">
        <f>D33+D27</f>
        <v>1440</v>
      </c>
    </row>
  </sheetData>
  <pageMargins left="0.7" right="0.7" top="0.75" bottom="0.7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topLeftCell="A29" workbookViewId="0">
      <selection activeCell="D40" sqref="D40"/>
    </sheetView>
  </sheetViews>
  <sheetFormatPr defaultRowHeight="16.5"/>
  <cols>
    <col min="1" max="1" width="36.7109375" style="3" customWidth="1"/>
    <col min="2" max="4" width="9.140625" style="3"/>
    <col min="5" max="5" width="3.7109375" style="3" customWidth="1"/>
    <col min="6" max="8" width="9.140625" style="3"/>
    <col min="9" max="9" width="3.7109375" style="3" customWidth="1"/>
    <col min="10" max="12" width="9.140625" style="3"/>
    <col min="13" max="27" width="9.140625" style="1"/>
  </cols>
  <sheetData>
    <row r="1" spans="1:17">
      <c r="A1" s="3" t="s">
        <v>0</v>
      </c>
    </row>
    <row r="3" spans="1:17">
      <c r="A3" s="3" t="s">
        <v>54</v>
      </c>
    </row>
    <row r="4" spans="1:17">
      <c r="A4" s="34" t="s">
        <v>55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7">
      <c r="B5" s="42"/>
      <c r="C5" s="43" t="s">
        <v>56</v>
      </c>
      <c r="D5" s="42"/>
      <c r="E5" s="44"/>
      <c r="F5" s="8"/>
      <c r="G5" s="35" t="s">
        <v>57</v>
      </c>
      <c r="H5" s="8"/>
      <c r="J5" s="8"/>
      <c r="K5" s="35" t="s">
        <v>58</v>
      </c>
      <c r="L5" s="8"/>
    </row>
    <row r="6" spans="1:17">
      <c r="A6" s="8"/>
      <c r="B6" s="16">
        <v>2010</v>
      </c>
      <c r="C6" s="16">
        <v>2011</v>
      </c>
      <c r="D6" s="16">
        <v>2012</v>
      </c>
      <c r="E6" s="16"/>
      <c r="F6" s="16">
        <v>2010</v>
      </c>
      <c r="G6" s="16">
        <v>2011</v>
      </c>
      <c r="H6" s="16">
        <v>2012</v>
      </c>
      <c r="I6" s="16"/>
      <c r="J6" s="16">
        <v>2010</v>
      </c>
      <c r="K6" s="16">
        <v>2011</v>
      </c>
      <c r="L6" s="16">
        <v>2012</v>
      </c>
    </row>
    <row r="7" spans="1:17">
      <c r="A7" s="3" t="s">
        <v>59</v>
      </c>
      <c r="B7" s="9">
        <v>683</v>
      </c>
      <c r="C7" s="9">
        <v>682</v>
      </c>
      <c r="D7" s="9">
        <v>728</v>
      </c>
      <c r="E7" s="9"/>
      <c r="F7" s="9">
        <v>455</v>
      </c>
      <c r="G7" s="9">
        <v>488</v>
      </c>
      <c r="H7" s="9">
        <v>520</v>
      </c>
      <c r="I7" s="9"/>
      <c r="J7" s="9">
        <v>224</v>
      </c>
      <c r="K7" s="9">
        <v>306</v>
      </c>
      <c r="L7" s="9">
        <v>338</v>
      </c>
    </row>
    <row r="8" spans="1:17">
      <c r="A8" s="3" t="s">
        <v>60</v>
      </c>
      <c r="B8" s="9">
        <v>144</v>
      </c>
      <c r="C8" s="9">
        <v>96</v>
      </c>
      <c r="D8" s="9">
        <v>154</v>
      </c>
      <c r="E8" s="9"/>
      <c r="F8" s="9">
        <v>34</v>
      </c>
      <c r="G8" s="9">
        <v>44</v>
      </c>
      <c r="H8" s="9">
        <v>19</v>
      </c>
      <c r="I8" s="9"/>
      <c r="J8" s="9">
        <v>23</v>
      </c>
      <c r="K8" s="9">
        <v>42</v>
      </c>
      <c r="L8" s="9">
        <v>58</v>
      </c>
    </row>
    <row r="9" spans="1:17">
      <c r="A9" s="3" t="s">
        <v>14</v>
      </c>
      <c r="B9" s="13">
        <v>7.63</v>
      </c>
      <c r="C9" s="13">
        <v>5.04</v>
      </c>
      <c r="D9" s="13">
        <v>7.98</v>
      </c>
      <c r="E9" s="13"/>
      <c r="F9" s="13">
        <v>1.74</v>
      </c>
      <c r="G9" s="13">
        <v>2.17</v>
      </c>
      <c r="H9" s="13">
        <v>0.95</v>
      </c>
      <c r="I9" s="13"/>
      <c r="J9" s="13">
        <v>0.5</v>
      </c>
      <c r="K9" s="13">
        <v>0.92</v>
      </c>
      <c r="L9" s="13">
        <v>1.21</v>
      </c>
      <c r="O9" s="49"/>
      <c r="Q9" s="50"/>
    </row>
    <row r="10" spans="1:17">
      <c r="A10" s="3" t="s">
        <v>15</v>
      </c>
      <c r="B10" s="13">
        <v>1.36</v>
      </c>
      <c r="C10" s="13">
        <v>1.36</v>
      </c>
      <c r="D10" s="13">
        <v>1.36</v>
      </c>
      <c r="E10" s="13"/>
      <c r="F10" s="13">
        <v>0</v>
      </c>
      <c r="G10" s="13">
        <v>0</v>
      </c>
      <c r="H10" s="13">
        <v>0</v>
      </c>
      <c r="I10" s="13"/>
      <c r="J10" s="13">
        <v>0</v>
      </c>
      <c r="K10" s="13">
        <v>0</v>
      </c>
      <c r="L10" s="13">
        <v>0</v>
      </c>
      <c r="P10" s="48"/>
    </row>
    <row r="12" spans="1:17">
      <c r="A12" s="3" t="s">
        <v>61</v>
      </c>
      <c r="B12" s="31">
        <f>B13/B9</f>
        <v>6.9659239842726084</v>
      </c>
      <c r="C12" s="31">
        <f>C13/C9</f>
        <v>10.773809523809524</v>
      </c>
      <c r="D12" s="46">
        <f>D13/D9</f>
        <v>7.5639097744360901</v>
      </c>
      <c r="E12" s="31"/>
      <c r="F12" s="31">
        <f>F13/F9</f>
        <v>19.281609195402297</v>
      </c>
      <c r="G12" s="31">
        <f>G13/G9</f>
        <v>18.778801843317972</v>
      </c>
      <c r="H12" s="31">
        <f>H13/H9</f>
        <v>46.515789473684208</v>
      </c>
      <c r="I12" s="31"/>
      <c r="J12" s="31">
        <f>J13/J9</f>
        <v>53.12</v>
      </c>
      <c r="K12" s="31">
        <f>K13/K9</f>
        <v>33.695652173913039</v>
      </c>
      <c r="L12" s="46">
        <f>L13/L9</f>
        <v>24.925619834710744</v>
      </c>
    </row>
    <row r="13" spans="1:17">
      <c r="A13" s="3" t="s">
        <v>62</v>
      </c>
      <c r="B13" s="13">
        <v>53.15</v>
      </c>
      <c r="C13" s="13">
        <v>54.3</v>
      </c>
      <c r="D13" s="13">
        <v>60.36</v>
      </c>
      <c r="E13" s="13"/>
      <c r="F13" s="13">
        <v>33.549999999999997</v>
      </c>
      <c r="G13" s="13">
        <v>40.75</v>
      </c>
      <c r="H13" s="13">
        <v>44.19</v>
      </c>
      <c r="I13" s="13"/>
      <c r="J13" s="13">
        <v>26.56</v>
      </c>
      <c r="K13" s="13">
        <v>31</v>
      </c>
      <c r="L13" s="13">
        <v>30.16</v>
      </c>
    </row>
    <row r="14" spans="1:17">
      <c r="A14" s="3" t="s">
        <v>63</v>
      </c>
      <c r="B14" s="39">
        <f>B12*B8</f>
        <v>1003.0930537352556</v>
      </c>
      <c r="C14" s="39">
        <f t="shared" ref="C14:D14" si="0">C12*C8</f>
        <v>1034.2857142857142</v>
      </c>
      <c r="D14" s="39">
        <f t="shared" si="0"/>
        <v>1164.8421052631579</v>
      </c>
      <c r="E14" s="39"/>
      <c r="F14" s="39">
        <f t="shared" ref="F14:H14" si="1">F12*F8</f>
        <v>655.57471264367814</v>
      </c>
      <c r="G14" s="39">
        <f t="shared" si="1"/>
        <v>826.26728110599072</v>
      </c>
      <c r="H14" s="39">
        <f t="shared" si="1"/>
        <v>883.8</v>
      </c>
      <c r="I14" s="39"/>
      <c r="J14" s="39">
        <f t="shared" ref="J14:L14" si="2">J12*J8</f>
        <v>1221.76</v>
      </c>
      <c r="K14" s="39">
        <f t="shared" si="2"/>
        <v>1415.2173913043478</v>
      </c>
      <c r="L14" s="39">
        <f t="shared" si="2"/>
        <v>1445.6859504132231</v>
      </c>
    </row>
    <row r="15" spans="1:17">
      <c r="C15" s="45"/>
    </row>
    <row r="16" spans="1:17">
      <c r="A16" s="3" t="s">
        <v>64</v>
      </c>
      <c r="B16" s="9">
        <v>1320</v>
      </c>
      <c r="C16" s="9">
        <v>1271</v>
      </c>
      <c r="D16" s="9">
        <v>1398</v>
      </c>
      <c r="E16" s="9"/>
      <c r="F16" s="9">
        <v>503</v>
      </c>
      <c r="G16" s="9">
        <v>530</v>
      </c>
      <c r="H16" s="9">
        <v>683</v>
      </c>
      <c r="I16" s="9"/>
      <c r="J16" s="9">
        <v>526</v>
      </c>
      <c r="K16" s="9">
        <v>608</v>
      </c>
      <c r="L16" s="9">
        <v>467</v>
      </c>
    </row>
    <row r="17" spans="1:12">
      <c r="A17" s="11" t="s">
        <v>65</v>
      </c>
      <c r="B17" s="29">
        <v>0.43</v>
      </c>
      <c r="C17" s="29">
        <v>0.33</v>
      </c>
      <c r="D17" s="47">
        <v>0.32</v>
      </c>
      <c r="E17" s="29"/>
      <c r="F17" s="29">
        <v>0.41</v>
      </c>
      <c r="G17" s="29">
        <v>0.37</v>
      </c>
      <c r="H17" s="29">
        <v>0.52</v>
      </c>
      <c r="I17" s="29"/>
      <c r="J17" s="29">
        <v>0.2</v>
      </c>
      <c r="K17" s="29">
        <v>0.18</v>
      </c>
      <c r="L17" s="29">
        <v>0</v>
      </c>
    </row>
    <row r="18" spans="1:12">
      <c r="A18" s="11" t="s">
        <v>66</v>
      </c>
      <c r="B18" s="29">
        <v>0.56999999999999995</v>
      </c>
      <c r="C18" s="29">
        <v>0.67</v>
      </c>
      <c r="D18" s="29">
        <v>0.68</v>
      </c>
      <c r="E18" s="29"/>
      <c r="F18" s="29">
        <v>0.59</v>
      </c>
      <c r="G18" s="29">
        <v>0.63</v>
      </c>
      <c r="H18" s="29">
        <v>0.48</v>
      </c>
      <c r="I18" s="29"/>
      <c r="J18" s="29">
        <v>0.8</v>
      </c>
      <c r="K18" s="29">
        <v>0.82</v>
      </c>
      <c r="L18" s="29">
        <v>1</v>
      </c>
    </row>
    <row r="20" spans="1:12">
      <c r="A20" s="3" t="s">
        <v>18</v>
      </c>
      <c r="B20" s="30" t="s">
        <v>67</v>
      </c>
      <c r="C20" s="30" t="s">
        <v>67</v>
      </c>
      <c r="D20" s="31">
        <v>1.02</v>
      </c>
      <c r="E20" s="31"/>
      <c r="F20" s="30" t="s">
        <v>67</v>
      </c>
      <c r="G20" s="30" t="s">
        <v>67</v>
      </c>
      <c r="H20" s="31">
        <v>1.04</v>
      </c>
      <c r="I20" s="31"/>
      <c r="J20" s="30" t="s">
        <v>67</v>
      </c>
      <c r="K20" s="30" t="s">
        <v>67</v>
      </c>
      <c r="L20" s="31">
        <v>0.86</v>
      </c>
    </row>
    <row r="21" spans="1:12">
      <c r="A21" s="8" t="s">
        <v>68</v>
      </c>
      <c r="B21" s="36">
        <v>2.8</v>
      </c>
      <c r="C21" s="36">
        <v>2.9</v>
      </c>
      <c r="D21" s="36">
        <v>3.3</v>
      </c>
      <c r="E21" s="36"/>
      <c r="F21" s="36">
        <v>4.2</v>
      </c>
      <c r="G21" s="36">
        <v>5.4</v>
      </c>
      <c r="H21" s="36">
        <v>2</v>
      </c>
      <c r="I21" s="36"/>
      <c r="J21" s="36">
        <v>4.0999999999999996</v>
      </c>
      <c r="K21" s="36">
        <v>8.1999999999999993</v>
      </c>
      <c r="L21" s="36">
        <v>24.5</v>
      </c>
    </row>
    <row r="22" spans="1:12">
      <c r="A22" s="8" t="s">
        <v>69</v>
      </c>
      <c r="B22" s="36">
        <f>B17*(B14/B18)</f>
        <v>756.71932123887711</v>
      </c>
      <c r="C22" s="36">
        <f t="shared" ref="C22:D22" si="3">C17*(C14/C18)</f>
        <v>509.42430703624728</v>
      </c>
      <c r="D22" s="36">
        <f t="shared" si="3"/>
        <v>548.16099071207429</v>
      </c>
      <c r="E22" s="36"/>
      <c r="F22" s="36">
        <f>F17*(F14/F18)</f>
        <v>455.56886810831872</v>
      </c>
      <c r="G22" s="36">
        <f t="shared" ref="G22:K22" si="4">G17*(G14/G18)</f>
        <v>485.2680857289152</v>
      </c>
      <c r="H22" s="36">
        <f t="shared" si="4"/>
        <v>957.45</v>
      </c>
      <c r="I22" s="36"/>
      <c r="J22" s="36">
        <f t="shared" si="4"/>
        <v>305.44</v>
      </c>
      <c r="K22" s="36">
        <f t="shared" si="4"/>
        <v>310.65747613997877</v>
      </c>
      <c r="L22" s="36">
        <f>L17*(L14/L18)</f>
        <v>0</v>
      </c>
    </row>
    <row r="23" spans="1:12">
      <c r="A23" s="8" t="s">
        <v>70</v>
      </c>
      <c r="B23" s="36">
        <f>B22/B14</f>
        <v>0.75438596491228083</v>
      </c>
      <c r="C23" s="36">
        <f t="shared" ref="C23:D23" si="5">C22/C14</f>
        <v>0.4925373134328358</v>
      </c>
      <c r="D23" s="36">
        <f t="shared" si="5"/>
        <v>0.47058823529411764</v>
      </c>
      <c r="E23" s="36"/>
      <c r="F23" s="36">
        <f>F22/F14</f>
        <v>0.69491525423728817</v>
      </c>
      <c r="G23" s="36">
        <f t="shared" ref="G23" si="6">G22/G14</f>
        <v>0.58730158730158732</v>
      </c>
      <c r="H23" s="36">
        <f t="shared" ref="H23" si="7">H22/H14</f>
        <v>1.0833333333333335</v>
      </c>
      <c r="I23" s="36"/>
      <c r="J23" s="36">
        <f>J22/J14</f>
        <v>0.25</v>
      </c>
      <c r="K23" s="36">
        <f t="shared" ref="K23" si="8">K22/K14</f>
        <v>0.21951219512195122</v>
      </c>
      <c r="L23" s="36">
        <f t="shared" ref="L23" si="9">L22/L14</f>
        <v>0</v>
      </c>
    </row>
    <row r="24" spans="1:12">
      <c r="A24" s="28"/>
      <c r="B24" s="38"/>
      <c r="C24" s="38"/>
      <c r="D24" s="38"/>
      <c r="E24" s="38"/>
      <c r="F24" s="38"/>
      <c r="G24" s="38"/>
      <c r="H24" s="38"/>
      <c r="I24" s="38"/>
      <c r="J24" s="28"/>
      <c r="K24" s="28"/>
      <c r="L24" s="28"/>
    </row>
    <row r="25" spans="1:12">
      <c r="B25" s="42"/>
      <c r="C25" s="43" t="s">
        <v>71</v>
      </c>
      <c r="D25" s="43"/>
      <c r="F25" s="8"/>
      <c r="G25" s="35" t="s">
        <v>72</v>
      </c>
      <c r="H25" s="8"/>
      <c r="J25" s="42"/>
      <c r="K25" s="43" t="s">
        <v>73</v>
      </c>
      <c r="L25" s="43"/>
    </row>
    <row r="26" spans="1:12">
      <c r="A26" s="8"/>
      <c r="B26" s="16">
        <v>2010</v>
      </c>
      <c r="C26" s="16">
        <v>2011</v>
      </c>
      <c r="D26" s="16">
        <v>2012</v>
      </c>
      <c r="E26" s="16"/>
      <c r="F26" s="16">
        <v>2010</v>
      </c>
      <c r="G26" s="16">
        <v>2011</v>
      </c>
      <c r="H26" s="16">
        <v>2012</v>
      </c>
      <c r="I26" s="16"/>
      <c r="J26" s="16">
        <v>2010</v>
      </c>
      <c r="K26" s="16">
        <v>2011</v>
      </c>
      <c r="L26" s="16">
        <v>2012</v>
      </c>
    </row>
    <row r="27" spans="1:12">
      <c r="A27" s="3" t="s">
        <v>59</v>
      </c>
      <c r="B27" s="9">
        <v>200</v>
      </c>
      <c r="C27" s="9">
        <v>192</v>
      </c>
      <c r="D27" s="9">
        <v>223</v>
      </c>
      <c r="E27" s="9"/>
      <c r="F27" s="9">
        <v>144</v>
      </c>
      <c r="G27" s="9">
        <v>186</v>
      </c>
      <c r="H27" s="9">
        <v>218</v>
      </c>
      <c r="I27" s="9"/>
      <c r="J27" s="9">
        <v>152</v>
      </c>
      <c r="K27" s="9">
        <v>179</v>
      </c>
      <c r="L27" s="9">
        <v>215</v>
      </c>
    </row>
    <row r="28" spans="1:12">
      <c r="A28" s="3" t="s">
        <v>60</v>
      </c>
      <c r="B28" s="9">
        <v>20</v>
      </c>
      <c r="C28" s="9">
        <v>8</v>
      </c>
      <c r="D28" s="9">
        <v>22</v>
      </c>
      <c r="E28" s="9"/>
      <c r="F28" s="9">
        <v>-18</v>
      </c>
      <c r="G28" s="9">
        <v>6</v>
      </c>
      <c r="H28" s="9">
        <v>24</v>
      </c>
      <c r="I28" s="9"/>
      <c r="J28" s="9">
        <v>11</v>
      </c>
      <c r="K28" s="9">
        <v>11</v>
      </c>
      <c r="L28" s="9">
        <v>17</v>
      </c>
    </row>
    <row r="29" spans="1:12">
      <c r="A29" s="3" t="s">
        <v>14</v>
      </c>
      <c r="B29" s="13">
        <v>2.1800000000000002</v>
      </c>
      <c r="C29" s="13">
        <v>0.86</v>
      </c>
      <c r="D29" s="13">
        <v>2.33</v>
      </c>
      <c r="E29" s="13"/>
      <c r="F29" s="13">
        <v>-0.6</v>
      </c>
      <c r="G29" s="13">
        <v>0.2</v>
      </c>
      <c r="H29" s="13">
        <v>0.73</v>
      </c>
      <c r="I29" s="13"/>
      <c r="J29" s="13">
        <v>0.79</v>
      </c>
      <c r="K29" s="13">
        <v>0.8</v>
      </c>
      <c r="L29" s="13">
        <v>1.17</v>
      </c>
    </row>
    <row r="30" spans="1:12">
      <c r="A30" s="3" t="s">
        <v>15</v>
      </c>
      <c r="B30" s="13">
        <v>0.44</v>
      </c>
      <c r="C30" s="13">
        <v>0.56000000000000005</v>
      </c>
      <c r="D30" s="13">
        <v>0.66</v>
      </c>
      <c r="E30" s="13"/>
      <c r="F30" s="13">
        <v>0</v>
      </c>
      <c r="G30" s="13">
        <v>0</v>
      </c>
      <c r="H30" s="13">
        <v>0</v>
      </c>
      <c r="I30" s="13"/>
      <c r="J30" s="13">
        <v>7.0000000000000007E-2</v>
      </c>
      <c r="K30" s="13">
        <v>0.08</v>
      </c>
      <c r="L30" s="13">
        <v>0.09</v>
      </c>
    </row>
    <row r="32" spans="1:12">
      <c r="A32" s="3" t="s">
        <v>61</v>
      </c>
      <c r="B32" s="31">
        <f>B33/B29</f>
        <v>13.825688073394495</v>
      </c>
      <c r="C32" s="31">
        <f>C33/C29</f>
        <v>36.697674418604649</v>
      </c>
      <c r="D32" s="46">
        <f>D33/D29</f>
        <v>13.231759656652359</v>
      </c>
      <c r="E32" s="14"/>
      <c r="F32" s="32" t="s">
        <v>74</v>
      </c>
      <c r="G32" s="31">
        <f>G33/G29</f>
        <v>126.69999999999999</v>
      </c>
      <c r="H32" s="31">
        <f>H33/H29</f>
        <v>34.479452054794521</v>
      </c>
      <c r="I32" s="14"/>
      <c r="J32" s="31">
        <f>J33/J29</f>
        <v>22.670886075949365</v>
      </c>
      <c r="K32" s="31">
        <f>K33/K29</f>
        <v>21.175000000000001</v>
      </c>
      <c r="L32" s="46">
        <f>L33/L29</f>
        <v>21.188034188034187</v>
      </c>
    </row>
    <row r="33" spans="1:12">
      <c r="A33" s="3" t="s">
        <v>62</v>
      </c>
      <c r="B33" s="13">
        <v>30.14</v>
      </c>
      <c r="C33" s="13">
        <v>31.56</v>
      </c>
      <c r="D33" s="13">
        <v>30.83</v>
      </c>
      <c r="E33" s="13"/>
      <c r="F33" s="13">
        <v>16.239999999999998</v>
      </c>
      <c r="G33" s="13">
        <v>25.34</v>
      </c>
      <c r="H33" s="13">
        <v>25.17</v>
      </c>
      <c r="I33" s="13"/>
      <c r="J33" s="13">
        <v>17.91</v>
      </c>
      <c r="K33" s="13">
        <v>16.940000000000001</v>
      </c>
      <c r="L33" s="13">
        <v>24.79</v>
      </c>
    </row>
    <row r="34" spans="1:12">
      <c r="A34" s="3" t="s">
        <v>63</v>
      </c>
      <c r="B34" s="39">
        <f>B32*B28</f>
        <v>276.51376146788994</v>
      </c>
      <c r="C34" s="39">
        <f>C32*C28</f>
        <v>293.58139534883719</v>
      </c>
      <c r="D34" s="39">
        <f>D32*D28</f>
        <v>291.0987124463519</v>
      </c>
      <c r="E34" s="39"/>
      <c r="F34" s="40">
        <v>487.2</v>
      </c>
      <c r="G34" s="39">
        <f>G32*G28</f>
        <v>760.19999999999993</v>
      </c>
      <c r="H34" s="39">
        <f>H32*H28</f>
        <v>827.50684931506851</v>
      </c>
      <c r="I34" s="39"/>
      <c r="J34" s="39">
        <f>J32*J28</f>
        <v>249.37974683544303</v>
      </c>
      <c r="K34" s="39">
        <f>K32*K28</f>
        <v>232.92500000000001</v>
      </c>
      <c r="L34" s="39">
        <f>L32*L28</f>
        <v>360.19658119658118</v>
      </c>
    </row>
    <row r="36" spans="1:12">
      <c r="A36" s="3" t="s">
        <v>64</v>
      </c>
      <c r="B36" s="9">
        <v>153</v>
      </c>
      <c r="C36" s="9">
        <v>158</v>
      </c>
      <c r="D36" s="9">
        <v>164</v>
      </c>
      <c r="E36" s="9"/>
      <c r="F36" s="9">
        <v>136</v>
      </c>
      <c r="G36" s="9">
        <v>232</v>
      </c>
      <c r="H36" s="9">
        <v>275</v>
      </c>
      <c r="I36" s="9"/>
      <c r="J36" s="9">
        <v>122</v>
      </c>
      <c r="K36" s="9">
        <v>143</v>
      </c>
      <c r="L36" s="9">
        <v>201</v>
      </c>
    </row>
    <row r="37" spans="1:12">
      <c r="A37" s="11" t="s">
        <v>65</v>
      </c>
      <c r="B37" s="29">
        <v>0.22</v>
      </c>
      <c r="C37" s="29">
        <v>0.21</v>
      </c>
      <c r="D37" s="47">
        <v>0.2</v>
      </c>
      <c r="E37" s="29"/>
      <c r="F37" s="29">
        <v>0</v>
      </c>
      <c r="G37" s="29">
        <v>0.25</v>
      </c>
      <c r="H37" s="29">
        <v>0.22</v>
      </c>
      <c r="I37" s="29"/>
      <c r="J37" s="29">
        <v>0.05</v>
      </c>
      <c r="K37" s="29">
        <v>0.09</v>
      </c>
      <c r="L37" s="47">
        <v>0.25</v>
      </c>
    </row>
    <row r="38" spans="1:12">
      <c r="A38" s="11" t="s">
        <v>66</v>
      </c>
      <c r="B38" s="29">
        <v>0.78</v>
      </c>
      <c r="C38" s="29">
        <v>0.79</v>
      </c>
      <c r="D38" s="29">
        <v>0.8</v>
      </c>
      <c r="E38" s="29"/>
      <c r="F38" s="29">
        <v>1</v>
      </c>
      <c r="G38" s="29">
        <v>0.75</v>
      </c>
      <c r="H38" s="29">
        <v>0.78</v>
      </c>
      <c r="I38" s="29"/>
      <c r="J38" s="29">
        <v>0.95</v>
      </c>
      <c r="K38" s="29">
        <v>0.91</v>
      </c>
      <c r="L38" s="29">
        <v>0.75</v>
      </c>
    </row>
    <row r="40" spans="1:12">
      <c r="A40" s="3" t="s">
        <v>18</v>
      </c>
      <c r="B40" s="30" t="s">
        <v>67</v>
      </c>
      <c r="C40" s="30" t="s">
        <v>67</v>
      </c>
      <c r="D40" s="31">
        <v>0.85</v>
      </c>
      <c r="E40" s="31"/>
      <c r="F40" s="30" t="s">
        <v>67</v>
      </c>
      <c r="G40" s="30" t="s">
        <v>67</v>
      </c>
      <c r="H40" s="31">
        <v>0.53</v>
      </c>
      <c r="I40" s="31"/>
      <c r="J40" s="30" t="s">
        <v>67</v>
      </c>
      <c r="K40" s="30" t="s">
        <v>67</v>
      </c>
      <c r="L40" s="31">
        <v>0.9</v>
      </c>
    </row>
    <row r="41" spans="1:12">
      <c r="A41" s="8" t="s">
        <v>68</v>
      </c>
      <c r="B41" s="36">
        <v>15.5</v>
      </c>
      <c r="C41" s="36">
        <v>7.1</v>
      </c>
      <c r="D41" s="36">
        <v>18.399999999999999</v>
      </c>
      <c r="E41" s="36"/>
      <c r="F41" s="37" t="s">
        <v>74</v>
      </c>
      <c r="G41" s="36">
        <v>4.5</v>
      </c>
      <c r="H41" s="36">
        <v>3.6</v>
      </c>
      <c r="I41" s="36"/>
      <c r="J41" s="36">
        <v>27.9</v>
      </c>
      <c r="K41" s="36">
        <v>32.6</v>
      </c>
      <c r="L41" s="36">
        <v>14</v>
      </c>
    </row>
    <row r="42" spans="1:12">
      <c r="A42" s="3" t="s">
        <v>69</v>
      </c>
      <c r="B42" s="36">
        <f>B37*(B34/B38)</f>
        <v>77.99106092684076</v>
      </c>
      <c r="C42" s="36">
        <f t="shared" ref="C42:L42" si="10">C37*(C34/C38)</f>
        <v>78.040624080070643</v>
      </c>
      <c r="D42" s="36">
        <f t="shared" si="10"/>
        <v>72.774678111587974</v>
      </c>
      <c r="F42" s="36">
        <f t="shared" si="10"/>
        <v>0</v>
      </c>
      <c r="G42" s="36">
        <f t="shared" si="10"/>
        <v>253.39999999999998</v>
      </c>
      <c r="H42" s="36">
        <f t="shared" si="10"/>
        <v>233.39936775553215</v>
      </c>
      <c r="J42" s="36">
        <f t="shared" si="10"/>
        <v>13.125249833444371</v>
      </c>
      <c r="K42" s="36">
        <f t="shared" si="10"/>
        <v>23.036538461538459</v>
      </c>
      <c r="L42" s="36">
        <f t="shared" si="10"/>
        <v>120.06552706552706</v>
      </c>
    </row>
    <row r="43" spans="1:12">
      <c r="A43" s="3" t="s">
        <v>70</v>
      </c>
      <c r="B43" s="36">
        <f>B42/B34</f>
        <v>0.2820512820512821</v>
      </c>
      <c r="C43" s="36">
        <f t="shared" ref="C43" si="11">C42/C34</f>
        <v>0.26582278481012656</v>
      </c>
      <c r="D43" s="36">
        <f t="shared" ref="D43" si="12">D42/D34</f>
        <v>0.25</v>
      </c>
      <c r="F43" s="36">
        <f>F42/F34</f>
        <v>0</v>
      </c>
      <c r="G43" s="36">
        <f t="shared" ref="G43" si="13">G42/G34</f>
        <v>0.33333333333333331</v>
      </c>
      <c r="H43" s="36">
        <f t="shared" ref="H43" si="14">H42/H34</f>
        <v>0.28205128205128205</v>
      </c>
      <c r="J43" s="36">
        <f>J42/J34</f>
        <v>5.2631578947368425E-2</v>
      </c>
      <c r="K43" s="36">
        <f t="shared" ref="K43" si="15">K42/K34</f>
        <v>9.8901098901098883E-2</v>
      </c>
      <c r="L43" s="36">
        <f t="shared" ref="L43" si="16">L42/L34</f>
        <v>0.33333333333333337</v>
      </c>
    </row>
  </sheetData>
  <pageMargins left="0.7" right="0.7" top="0.5" bottom="0.5" header="0" footer="0"/>
  <pageSetup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19" sqref="B19"/>
    </sheetView>
  </sheetViews>
  <sheetFormatPr defaultColWidth="8.85546875" defaultRowHeight="15"/>
  <cols>
    <col min="1" max="1" width="26.28515625" style="52" bestFit="1" customWidth="1"/>
    <col min="2" max="2" width="15.5703125" style="52" customWidth="1"/>
    <col min="3" max="3" width="19.5703125" style="51" bestFit="1" customWidth="1"/>
    <col min="4" max="4" width="27" style="51" bestFit="1" customWidth="1"/>
    <col min="5" max="5" width="13.140625" style="51" customWidth="1"/>
    <col min="6" max="16384" width="8.85546875" style="51"/>
  </cols>
  <sheetData>
    <row r="1" spans="1:5" ht="15.75" thickBot="1"/>
    <row r="2" spans="1:5" ht="16.5" thickBot="1">
      <c r="A2" s="133" t="s">
        <v>75</v>
      </c>
      <c r="B2" s="134"/>
      <c r="D2" s="135"/>
      <c r="E2" s="135"/>
    </row>
    <row r="3" spans="1:5">
      <c r="A3" s="53" t="s">
        <v>76</v>
      </c>
      <c r="B3" s="54">
        <f>AVERAGE('Exhibit 7'!D40,'Exhibit 7'!L40,'Exhibit 7'!D20)</f>
        <v>0.92333333333333334</v>
      </c>
      <c r="D3" s="69"/>
      <c r="E3" s="70"/>
    </row>
    <row r="4" spans="1:5">
      <c r="A4" s="55" t="s">
        <v>77</v>
      </c>
      <c r="B4" s="56">
        <v>0.35</v>
      </c>
      <c r="D4" s="69"/>
      <c r="E4" s="71"/>
    </row>
    <row r="5" spans="1:5">
      <c r="A5" s="55" t="s">
        <v>78</v>
      </c>
      <c r="B5" s="57">
        <f>AVERAGE('Exhibit 7'!D43,'Exhibit 7'!L43,'Exhibit 7'!D23)</f>
        <v>0.35130718954248369</v>
      </c>
      <c r="D5" s="69"/>
      <c r="E5" s="70"/>
    </row>
    <row r="6" spans="1:5" ht="15.75" thickBot="1">
      <c r="A6" s="58" t="s">
        <v>79</v>
      </c>
      <c r="B6" s="59">
        <f>B3/(1+((1-B5)*B4))</f>
        <v>0.7524868499900127</v>
      </c>
      <c r="D6" s="69"/>
      <c r="E6" s="72"/>
    </row>
    <row r="7" spans="1:5" ht="15.75" thickBot="1">
      <c r="D7" s="52"/>
      <c r="E7" s="52"/>
    </row>
    <row r="8" spans="1:5" ht="16.5" thickBot="1">
      <c r="A8" s="133" t="s">
        <v>80</v>
      </c>
      <c r="B8" s="134"/>
      <c r="D8" s="135"/>
      <c r="E8" s="135"/>
    </row>
    <row r="9" spans="1:5">
      <c r="A9" s="53" t="s">
        <v>81</v>
      </c>
      <c r="B9" s="60">
        <f>'Exhibit 1'!D21*'Exhibit 1'!D25</f>
        <v>5204593.68</v>
      </c>
      <c r="D9" s="69"/>
      <c r="E9" s="73"/>
    </row>
    <row r="10" spans="1:5">
      <c r="A10" s="53" t="s">
        <v>82</v>
      </c>
      <c r="B10" s="61">
        <f>WACC!B19*(B9/WACC!B20)</f>
        <v>2230540.1485714284</v>
      </c>
      <c r="D10" s="69"/>
      <c r="E10" s="73"/>
    </row>
    <row r="11" spans="1:5">
      <c r="A11" s="53" t="s">
        <v>83</v>
      </c>
      <c r="B11" s="54">
        <f>B10/B9</f>
        <v>0.42857142857142855</v>
      </c>
      <c r="D11" s="69"/>
      <c r="E11" s="70"/>
    </row>
    <row r="12" spans="1:5">
      <c r="A12" s="55" t="s">
        <v>84</v>
      </c>
      <c r="B12" s="57">
        <f>B6*(1+(1-B4)*B11)</f>
        <v>0.96210818677294474</v>
      </c>
      <c r="D12" s="69"/>
      <c r="E12" s="70"/>
    </row>
    <row r="13" spans="1:5" ht="15.75" thickBot="1">
      <c r="D13" s="52"/>
      <c r="E13" s="52"/>
    </row>
    <row r="14" spans="1:5" ht="19.5" thickBot="1">
      <c r="A14" s="131" t="s">
        <v>85</v>
      </c>
      <c r="B14" s="132"/>
      <c r="D14" s="136"/>
      <c r="E14" s="136"/>
    </row>
    <row r="15" spans="1:5">
      <c r="A15" s="62" t="s">
        <v>86</v>
      </c>
      <c r="B15" s="63">
        <v>3.1E-2</v>
      </c>
      <c r="D15" s="69"/>
      <c r="E15" s="74"/>
    </row>
    <row r="16" spans="1:5">
      <c r="A16" s="64" t="s">
        <v>87</v>
      </c>
      <c r="B16" s="65">
        <v>0.05</v>
      </c>
      <c r="D16" s="69"/>
      <c r="E16" s="71"/>
    </row>
    <row r="17" spans="1:5">
      <c r="A17" s="64" t="s">
        <v>88</v>
      </c>
      <c r="B17" s="66">
        <v>5.0999999999999997E-2</v>
      </c>
      <c r="D17" s="69"/>
      <c r="E17" s="74"/>
    </row>
    <row r="18" spans="1:5">
      <c r="A18" s="64" t="s">
        <v>89</v>
      </c>
      <c r="B18" s="66">
        <f>B15+B22*B16</f>
        <v>7.9105409338647237E-2</v>
      </c>
      <c r="D18" s="69"/>
      <c r="E18" s="74"/>
    </row>
    <row r="19" spans="1:5">
      <c r="A19" s="64" t="s">
        <v>90</v>
      </c>
      <c r="B19" s="65">
        <v>0.3</v>
      </c>
      <c r="D19" s="69"/>
      <c r="E19" s="75"/>
    </row>
    <row r="20" spans="1:5">
      <c r="A20" s="64" t="s">
        <v>91</v>
      </c>
      <c r="B20" s="65">
        <v>0.7</v>
      </c>
      <c r="D20" s="69"/>
      <c r="E20" s="75"/>
    </row>
    <row r="21" spans="1:5">
      <c r="A21" s="64" t="s">
        <v>77</v>
      </c>
      <c r="B21" s="65">
        <v>0.35</v>
      </c>
      <c r="D21" s="69"/>
      <c r="E21" s="71"/>
    </row>
    <row r="22" spans="1:5" ht="15.75" thickBot="1">
      <c r="A22" s="64" t="s">
        <v>92</v>
      </c>
      <c r="B22" s="67">
        <f>B12</f>
        <v>0.96210818677294474</v>
      </c>
      <c r="D22" s="69"/>
      <c r="E22" s="70"/>
    </row>
    <row r="23" spans="1:5" ht="15.75" thickBot="1">
      <c r="A23" s="68" t="s">
        <v>93</v>
      </c>
      <c r="B23" s="77">
        <f>((B18*B20)+(B19*B17))*(1-B21)</f>
        <v>4.5937961249084489E-2</v>
      </c>
      <c r="D23" s="69"/>
      <c r="E23" s="76"/>
    </row>
  </sheetData>
  <mergeCells count="6">
    <mergeCell ref="A14:B14"/>
    <mergeCell ref="A2:B2"/>
    <mergeCell ref="A8:B8"/>
    <mergeCell ref="D2:E2"/>
    <mergeCell ref="D8:E8"/>
    <mergeCell ref="D14:E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93"/>
  <sheetViews>
    <sheetView topLeftCell="A7" workbookViewId="0">
      <selection activeCell="C49" sqref="C49"/>
    </sheetView>
  </sheetViews>
  <sheetFormatPr defaultRowHeight="15"/>
  <cols>
    <col min="1" max="1" width="43.42578125" style="102" bestFit="1" customWidth="1"/>
    <col min="2" max="4" width="9.5703125" style="102" bestFit="1" customWidth="1"/>
    <col min="5" max="7" width="9.5703125" style="103" bestFit="1" customWidth="1"/>
    <col min="8" max="9" width="9.5703125" style="102" bestFit="1" customWidth="1"/>
    <col min="10" max="11" width="10.140625" style="102" bestFit="1" customWidth="1"/>
    <col min="12" max="14" width="8.85546875" style="102" bestFit="1" customWidth="1"/>
    <col min="15" max="15" width="17.28515625" style="102" bestFit="1" customWidth="1"/>
    <col min="16" max="16384" width="9.140625" style="102"/>
  </cols>
  <sheetData>
    <row r="1" spans="1:24">
      <c r="A1" s="102" t="s">
        <v>0</v>
      </c>
    </row>
    <row r="3" spans="1:24">
      <c r="A3" s="102" t="s">
        <v>94</v>
      </c>
    </row>
    <row r="4" spans="1:24">
      <c r="A4" s="104" t="s">
        <v>95</v>
      </c>
    </row>
    <row r="5" spans="1:24">
      <c r="E5" s="105">
        <v>1</v>
      </c>
      <c r="F5" s="105">
        <v>2</v>
      </c>
      <c r="G5" s="105">
        <v>3</v>
      </c>
      <c r="H5" s="106">
        <v>4</v>
      </c>
      <c r="I5" s="106">
        <v>5</v>
      </c>
      <c r="J5" s="106">
        <v>6</v>
      </c>
      <c r="K5" s="106">
        <v>7</v>
      </c>
      <c r="L5" s="106">
        <v>8</v>
      </c>
      <c r="M5" s="106">
        <v>9</v>
      </c>
      <c r="N5" s="106">
        <v>10</v>
      </c>
    </row>
    <row r="6" spans="1:24">
      <c r="A6" s="78" t="s">
        <v>96</v>
      </c>
      <c r="B6" s="79"/>
      <c r="C6" s="79"/>
      <c r="D6" s="79"/>
      <c r="E6" s="81"/>
      <c r="F6" s="81"/>
      <c r="G6" s="79" t="s">
        <v>97</v>
      </c>
      <c r="H6" s="79"/>
      <c r="I6" s="79"/>
      <c r="J6" s="79"/>
      <c r="L6" s="79" t="s">
        <v>98</v>
      </c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</row>
    <row r="7" spans="1:24">
      <c r="A7" s="82" t="s">
        <v>99</v>
      </c>
      <c r="B7" s="83">
        <v>2010</v>
      </c>
      <c r="C7" s="83">
        <v>2011</v>
      </c>
      <c r="D7" s="83">
        <v>2012</v>
      </c>
      <c r="E7" s="128">
        <v>2013</v>
      </c>
      <c r="F7" s="129">
        <v>2014</v>
      </c>
      <c r="G7" s="129">
        <v>2015</v>
      </c>
      <c r="H7" s="129">
        <v>2016</v>
      </c>
      <c r="I7" s="129">
        <v>2017</v>
      </c>
      <c r="J7" s="84">
        <v>2018</v>
      </c>
      <c r="K7" s="83">
        <f>J7+1</f>
        <v>2019</v>
      </c>
      <c r="L7" s="83">
        <f t="shared" ref="L7:N7" si="0">K7+1</f>
        <v>2020</v>
      </c>
      <c r="M7" s="83">
        <f t="shared" si="0"/>
        <v>2021</v>
      </c>
      <c r="N7" s="109">
        <f t="shared" si="0"/>
        <v>2022</v>
      </c>
      <c r="O7" s="85" t="s">
        <v>100</v>
      </c>
      <c r="P7" s="79"/>
      <c r="Q7" s="79"/>
      <c r="R7" s="79"/>
      <c r="S7" s="79"/>
      <c r="T7" s="79"/>
      <c r="U7" s="79"/>
      <c r="V7" s="79"/>
      <c r="W7" s="79"/>
      <c r="X7" s="79"/>
    </row>
    <row r="8" spans="1:24">
      <c r="A8" s="79"/>
      <c r="B8" s="79"/>
      <c r="C8" s="79"/>
      <c r="D8" s="79"/>
      <c r="E8" s="86"/>
      <c r="F8" s="79"/>
      <c r="G8" s="79"/>
      <c r="H8" s="79"/>
      <c r="I8" s="79"/>
      <c r="J8" s="86"/>
      <c r="K8" s="79"/>
      <c r="L8" s="79"/>
      <c r="M8" s="79"/>
      <c r="N8" s="108"/>
      <c r="O8" s="79"/>
      <c r="P8" s="79"/>
      <c r="Q8" s="79"/>
      <c r="R8" s="79"/>
      <c r="S8" s="79"/>
      <c r="T8" s="79"/>
      <c r="U8" s="79"/>
      <c r="V8" s="79"/>
      <c r="W8" s="79"/>
      <c r="X8" s="79"/>
    </row>
    <row r="9" spans="1:24">
      <c r="A9" s="79" t="s">
        <v>3</v>
      </c>
      <c r="B9" s="87">
        <v>128462</v>
      </c>
      <c r="C9" s="87">
        <v>135496</v>
      </c>
      <c r="D9" s="87">
        <v>142528</v>
      </c>
      <c r="E9" s="88">
        <f>142528*1.048</f>
        <v>149369.34400000001</v>
      </c>
      <c r="F9" s="87">
        <f>E9*1.024</f>
        <v>152954.20825600001</v>
      </c>
      <c r="G9" s="87">
        <f>F9*1.024</f>
        <v>156625.10925414402</v>
      </c>
      <c r="H9" s="87">
        <f>G9*1.024</f>
        <v>160384.11187624346</v>
      </c>
      <c r="I9" s="87">
        <f>H9*1.024</f>
        <v>164233.33056127332</v>
      </c>
      <c r="J9" s="88">
        <f>I9*(1+$O$9)</f>
        <v>168082.54924630316</v>
      </c>
      <c r="K9" s="87">
        <f t="shared" ref="K9:N9" si="1">J9*(1+$O$9)</f>
        <v>172021.9839942634</v>
      </c>
      <c r="L9" s="87">
        <f t="shared" si="1"/>
        <v>176053.74924412894</v>
      </c>
      <c r="M9" s="87">
        <f t="shared" si="1"/>
        <v>180180.0089920382</v>
      </c>
      <c r="N9" s="110">
        <f t="shared" si="1"/>
        <v>184402.97795278911</v>
      </c>
      <c r="O9" s="89">
        <f>(I9-H9)/I9</f>
        <v>2.3437500000000104E-2</v>
      </c>
      <c r="P9" s="79"/>
      <c r="Q9" s="79"/>
      <c r="R9" s="79"/>
      <c r="S9" s="79"/>
      <c r="T9" s="79"/>
      <c r="U9" s="79"/>
      <c r="V9" s="79"/>
      <c r="W9" s="79"/>
      <c r="X9" s="79"/>
    </row>
    <row r="10" spans="1:24">
      <c r="A10" s="79"/>
      <c r="B10" s="87"/>
      <c r="C10" s="87"/>
      <c r="D10" s="87"/>
      <c r="E10" s="88"/>
      <c r="F10" s="87"/>
      <c r="G10" s="87"/>
      <c r="H10" s="87"/>
      <c r="I10" s="90"/>
      <c r="J10" s="86"/>
      <c r="K10" s="79"/>
      <c r="L10" s="79"/>
      <c r="M10" s="79"/>
      <c r="N10" s="108"/>
      <c r="O10" s="89"/>
      <c r="P10" s="79"/>
      <c r="Q10" s="79"/>
      <c r="R10" s="79"/>
      <c r="S10" s="79"/>
      <c r="T10" s="79"/>
      <c r="U10" s="79"/>
      <c r="V10" s="79"/>
      <c r="W10" s="79"/>
      <c r="X10" s="79"/>
    </row>
    <row r="11" spans="1:24">
      <c r="A11" s="79" t="s">
        <v>101</v>
      </c>
      <c r="B11" s="87">
        <f>B9*0.5558</f>
        <v>71399.179599999989</v>
      </c>
      <c r="C11" s="87">
        <f>C9*0.5573</f>
        <v>75511.920800000007</v>
      </c>
      <c r="D11" s="87">
        <f>D9*0.5559</f>
        <v>79231.315199999997</v>
      </c>
      <c r="E11" s="88">
        <f>E9*0.556</f>
        <v>83049.355264000013</v>
      </c>
      <c r="F11" s="87">
        <f>F9*0.555</f>
        <v>84889.585582080021</v>
      </c>
      <c r="G11" s="87">
        <f>G9*0.555</f>
        <v>86926.935636049937</v>
      </c>
      <c r="H11" s="87">
        <f>H9*0.555</f>
        <v>89013.182091315131</v>
      </c>
      <c r="I11" s="87">
        <f>I9*0.555</f>
        <v>91149.498461506708</v>
      </c>
      <c r="J11" s="88">
        <f t="shared" ref="J11:N11" si="2">J9*0.555</f>
        <v>93285.814831698255</v>
      </c>
      <c r="K11" s="87">
        <f t="shared" si="2"/>
        <v>95472.201116816199</v>
      </c>
      <c r="L11" s="87">
        <f t="shared" si="2"/>
        <v>97709.83083049157</v>
      </c>
      <c r="M11" s="87">
        <f t="shared" si="2"/>
        <v>99999.904990581213</v>
      </c>
      <c r="N11" s="110">
        <f t="shared" si="2"/>
        <v>102343.65276379796</v>
      </c>
      <c r="O11" s="89"/>
      <c r="P11" s="79"/>
      <c r="Q11" s="79"/>
      <c r="R11" s="79"/>
      <c r="S11" s="79"/>
      <c r="T11" s="79"/>
      <c r="U11" s="79"/>
      <c r="V11" s="79"/>
      <c r="W11" s="79"/>
      <c r="X11" s="79"/>
    </row>
    <row r="12" spans="1:24">
      <c r="A12" s="79" t="s">
        <v>102</v>
      </c>
      <c r="B12" s="87">
        <f>B9*0.2124</f>
        <v>27285.328799999999</v>
      </c>
      <c r="C12" s="87">
        <f>C9*0.2119</f>
        <v>28711.6024</v>
      </c>
      <c r="D12" s="87">
        <f>D9*0.2126</f>
        <v>30301.452800000003</v>
      </c>
      <c r="E12" s="88">
        <f>E9*0.212</f>
        <v>31666.300928000001</v>
      </c>
      <c r="F12" s="87">
        <f>F9*0.21</f>
        <v>32120.383733760002</v>
      </c>
      <c r="G12" s="87">
        <f>G9*0.21</f>
        <v>32891.272943370241</v>
      </c>
      <c r="H12" s="87">
        <f>H9*0.21</f>
        <v>33680.663494011125</v>
      </c>
      <c r="I12" s="87">
        <f>I9*0.21</f>
        <v>34488.999417867395</v>
      </c>
      <c r="J12" s="88">
        <f t="shared" ref="J12:N12" si="3">J9*0.21</f>
        <v>35297.335341723665</v>
      </c>
      <c r="K12" s="87">
        <f t="shared" si="3"/>
        <v>36124.616638795313</v>
      </c>
      <c r="L12" s="87">
        <f t="shared" si="3"/>
        <v>36971.287341267074</v>
      </c>
      <c r="M12" s="87">
        <f t="shared" si="3"/>
        <v>37837.801888328024</v>
      </c>
      <c r="N12" s="110">
        <f t="shared" si="3"/>
        <v>38724.625370085712</v>
      </c>
      <c r="O12" s="89"/>
      <c r="P12" s="79"/>
      <c r="Q12" s="79"/>
      <c r="R12" s="79"/>
      <c r="S12" s="79"/>
      <c r="T12" s="79"/>
      <c r="U12" s="79"/>
      <c r="V12" s="79"/>
      <c r="W12" s="79"/>
      <c r="X12" s="79"/>
    </row>
    <row r="13" spans="1:24">
      <c r="A13" s="79" t="s">
        <v>7</v>
      </c>
      <c r="B13" s="87">
        <f>B9*0.0258</f>
        <v>3314.3195999999998</v>
      </c>
      <c r="C13" s="87">
        <f>C9*0.0267</f>
        <v>3617.7432000000003</v>
      </c>
      <c r="D13" s="87">
        <f>D9*0.0253</f>
        <v>3605.9584</v>
      </c>
      <c r="E13" s="88">
        <f>E9*0.025</f>
        <v>3734.2336000000005</v>
      </c>
      <c r="F13" s="87">
        <f>F9*0.025</f>
        <v>3823.8552064000005</v>
      </c>
      <c r="G13" s="87">
        <f>G9*0.025</f>
        <v>3915.6277313536007</v>
      </c>
      <c r="H13" s="87">
        <f>H9*0.025</f>
        <v>4009.602796906087</v>
      </c>
      <c r="I13" s="87">
        <f>I9*0.025</f>
        <v>4105.8332640318331</v>
      </c>
      <c r="J13" s="88">
        <f t="shared" ref="J13:N13" si="4">J9*0.025</f>
        <v>4202.0637311575792</v>
      </c>
      <c r="K13" s="87">
        <f t="shared" si="4"/>
        <v>4300.5495998565848</v>
      </c>
      <c r="L13" s="87">
        <f t="shared" si="4"/>
        <v>4401.3437311032239</v>
      </c>
      <c r="M13" s="87">
        <f t="shared" si="4"/>
        <v>4504.500224800955</v>
      </c>
      <c r="N13" s="110">
        <f t="shared" si="4"/>
        <v>4610.0744488197279</v>
      </c>
      <c r="O13" s="89"/>
      <c r="P13" s="79"/>
      <c r="Q13" s="79"/>
      <c r="R13" s="79"/>
      <c r="S13" s="79"/>
      <c r="T13" s="79"/>
      <c r="U13" s="79"/>
      <c r="V13" s="79"/>
      <c r="W13" s="79"/>
      <c r="X13" s="79"/>
    </row>
    <row r="14" spans="1:24">
      <c r="A14" s="79" t="s">
        <v>103</v>
      </c>
      <c r="B14" s="91">
        <v>2216</v>
      </c>
      <c r="C14" s="91">
        <v>2329</v>
      </c>
      <c r="D14" s="91">
        <v>2438</v>
      </c>
      <c r="E14" s="92">
        <v>2525</v>
      </c>
      <c r="F14" s="91">
        <f t="shared" ref="F14:N14" si="5">((F25-E25)*0.05)+E14</f>
        <v>2600</v>
      </c>
      <c r="G14" s="91">
        <f t="shared" si="5"/>
        <v>2675</v>
      </c>
      <c r="H14" s="91">
        <f t="shared" si="5"/>
        <v>2750</v>
      </c>
      <c r="I14" s="91">
        <f t="shared" si="5"/>
        <v>2825</v>
      </c>
      <c r="J14" s="117">
        <f t="shared" si="5"/>
        <v>2900</v>
      </c>
      <c r="K14" s="93">
        <f t="shared" si="5"/>
        <v>2975</v>
      </c>
      <c r="L14" s="93">
        <f t="shared" si="5"/>
        <v>3050</v>
      </c>
      <c r="M14" s="93">
        <f t="shared" si="5"/>
        <v>3125</v>
      </c>
      <c r="N14" s="111">
        <f t="shared" si="5"/>
        <v>3200</v>
      </c>
      <c r="O14" s="89"/>
      <c r="P14" s="79"/>
      <c r="Q14" s="79"/>
      <c r="R14" s="79"/>
      <c r="S14" s="79"/>
      <c r="T14" s="79"/>
      <c r="U14" s="79"/>
      <c r="V14" s="79"/>
      <c r="W14" s="79"/>
      <c r="X14" s="79"/>
    </row>
    <row r="15" spans="1:24">
      <c r="A15" s="94" t="s">
        <v>104</v>
      </c>
      <c r="B15" s="87">
        <f t="shared" ref="B15:I15" si="6">SUM(B11:B14)</f>
        <v>104214.82799999999</v>
      </c>
      <c r="C15" s="87">
        <f t="shared" si="6"/>
        <v>110170.26640000001</v>
      </c>
      <c r="D15" s="87">
        <f t="shared" si="6"/>
        <v>115576.7264</v>
      </c>
      <c r="E15" s="88">
        <f t="shared" si="6"/>
        <v>120974.88979200002</v>
      </c>
      <c r="F15" s="87">
        <f t="shared" si="6"/>
        <v>123433.82452224001</v>
      </c>
      <c r="G15" s="87">
        <f t="shared" si="6"/>
        <v>126408.83631077377</v>
      </c>
      <c r="H15" s="87">
        <f t="shared" si="6"/>
        <v>129453.44838223234</v>
      </c>
      <c r="I15" s="87">
        <f t="shared" si="6"/>
        <v>132569.33114340593</v>
      </c>
      <c r="J15" s="88">
        <f t="shared" ref="J15" si="7">SUM(J11:J14)</f>
        <v>135685.21390457949</v>
      </c>
      <c r="K15" s="87">
        <f t="shared" ref="K15" si="8">SUM(K11:K14)</f>
        <v>138872.36735546807</v>
      </c>
      <c r="L15" s="87">
        <f t="shared" ref="L15" si="9">SUM(L11:L14)</f>
        <v>142132.46190286189</v>
      </c>
      <c r="M15" s="87">
        <f t="shared" ref="M15" si="10">SUM(M11:M14)</f>
        <v>145467.20710371019</v>
      </c>
      <c r="N15" s="110">
        <f t="shared" ref="N15" si="11">SUM(N11:N14)</f>
        <v>148878.3525827034</v>
      </c>
      <c r="O15" s="89"/>
      <c r="P15" s="79"/>
      <c r="Q15" s="79"/>
      <c r="R15" s="79"/>
      <c r="S15" s="79"/>
      <c r="T15" s="79"/>
      <c r="U15" s="79"/>
      <c r="V15" s="79"/>
      <c r="W15" s="79"/>
      <c r="X15" s="79"/>
    </row>
    <row r="16" spans="1:24">
      <c r="A16" s="85" t="s">
        <v>105</v>
      </c>
      <c r="B16" s="115">
        <f t="shared" ref="B16:N16" si="12">B9-B15</f>
        <v>24247.172000000006</v>
      </c>
      <c r="C16" s="115">
        <f t="shared" si="12"/>
        <v>25325.733599999992</v>
      </c>
      <c r="D16" s="116">
        <f t="shared" si="12"/>
        <v>26951.2736</v>
      </c>
      <c r="E16" s="115">
        <f t="shared" si="12"/>
        <v>28394.454207999996</v>
      </c>
      <c r="F16" s="115">
        <f t="shared" si="12"/>
        <v>29520.383733759998</v>
      </c>
      <c r="G16" s="115">
        <f t="shared" si="12"/>
        <v>30216.272943370248</v>
      </c>
      <c r="H16" s="115">
        <f t="shared" si="12"/>
        <v>30930.663494011125</v>
      </c>
      <c r="I16" s="115">
        <f t="shared" si="12"/>
        <v>31663.999417867395</v>
      </c>
      <c r="J16" s="118">
        <f t="shared" si="12"/>
        <v>32397.335341723665</v>
      </c>
      <c r="K16" s="115">
        <f t="shared" si="12"/>
        <v>33149.616638795327</v>
      </c>
      <c r="L16" s="115">
        <f t="shared" si="12"/>
        <v>33921.287341267045</v>
      </c>
      <c r="M16" s="115">
        <f t="shared" si="12"/>
        <v>34712.801888328017</v>
      </c>
      <c r="N16" s="116">
        <f t="shared" si="12"/>
        <v>35524.625370085705</v>
      </c>
      <c r="P16" s="79"/>
      <c r="Q16" s="79"/>
      <c r="R16" s="79"/>
      <c r="S16" s="79"/>
      <c r="T16" s="79"/>
      <c r="U16" s="79"/>
      <c r="V16" s="79"/>
      <c r="W16" s="79"/>
      <c r="X16" s="79"/>
    </row>
    <row r="18" spans="1:24">
      <c r="A18" s="79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9"/>
      <c r="P18" s="79"/>
      <c r="Q18" s="79"/>
      <c r="R18" s="79"/>
      <c r="S18" s="79"/>
      <c r="T18" s="79"/>
      <c r="U18" s="79"/>
      <c r="V18" s="79"/>
      <c r="W18" s="79"/>
      <c r="X18" s="79"/>
    </row>
    <row r="19" spans="1:24">
      <c r="A19" s="79"/>
      <c r="B19" s="87"/>
      <c r="C19" s="87"/>
      <c r="D19" s="87"/>
      <c r="E19" s="87"/>
      <c r="F19" s="87"/>
      <c r="G19" s="87"/>
      <c r="H19" s="87"/>
      <c r="I19" s="87"/>
      <c r="K19" s="79"/>
      <c r="L19" s="79"/>
      <c r="M19" s="79"/>
      <c r="N19" s="79"/>
      <c r="O19" s="89"/>
      <c r="P19" s="79"/>
      <c r="Q19" s="79"/>
      <c r="R19" s="79"/>
      <c r="S19" s="79"/>
      <c r="T19" s="79"/>
      <c r="U19" s="79"/>
      <c r="V19" s="79"/>
      <c r="W19" s="79"/>
      <c r="X19" s="79"/>
    </row>
    <row r="20" spans="1:24">
      <c r="A20" s="78" t="s">
        <v>106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89"/>
      <c r="P20" s="79"/>
      <c r="Q20" s="79"/>
      <c r="R20" s="79"/>
      <c r="S20" s="79"/>
      <c r="T20" s="79"/>
      <c r="U20" s="79"/>
      <c r="V20" s="79"/>
      <c r="W20" s="79"/>
      <c r="X20" s="79"/>
    </row>
    <row r="21" spans="1:24">
      <c r="A21" s="82" t="s">
        <v>99</v>
      </c>
      <c r="B21" s="83">
        <v>2010</v>
      </c>
      <c r="C21" s="83">
        <v>2011</v>
      </c>
      <c r="D21" s="83">
        <v>2012</v>
      </c>
      <c r="E21" s="128">
        <v>2013</v>
      </c>
      <c r="F21" s="129">
        <v>2014</v>
      </c>
      <c r="G21" s="129">
        <v>2015</v>
      </c>
      <c r="H21" s="129">
        <v>2016</v>
      </c>
      <c r="I21" s="129">
        <v>2017</v>
      </c>
      <c r="J21" s="84">
        <v>2018</v>
      </c>
      <c r="K21" s="83">
        <v>2019</v>
      </c>
      <c r="L21" s="83">
        <v>2020</v>
      </c>
      <c r="M21" s="83">
        <v>2021</v>
      </c>
      <c r="N21" s="109">
        <v>2022</v>
      </c>
      <c r="O21" s="89"/>
      <c r="P21" s="79"/>
      <c r="Q21" s="79"/>
      <c r="R21" s="79"/>
      <c r="S21" s="79"/>
      <c r="T21" s="79"/>
      <c r="U21" s="79"/>
      <c r="V21" s="79"/>
      <c r="W21" s="79"/>
      <c r="X21" s="79"/>
    </row>
    <row r="22" spans="1:24">
      <c r="A22" s="79" t="s">
        <v>107</v>
      </c>
      <c r="B22" s="79"/>
      <c r="C22" s="79"/>
      <c r="D22" s="79"/>
      <c r="E22" s="86"/>
      <c r="F22" s="79"/>
      <c r="G22" s="79"/>
      <c r="H22" s="79"/>
      <c r="I22" s="79"/>
      <c r="J22" s="86"/>
      <c r="K22" s="79"/>
      <c r="L22" s="79"/>
      <c r="M22" s="79"/>
      <c r="N22" s="108"/>
      <c r="O22" s="89"/>
      <c r="P22" s="79"/>
      <c r="Q22" s="79"/>
      <c r="R22" s="79"/>
      <c r="S22" s="79"/>
      <c r="T22" s="79"/>
      <c r="U22" s="79"/>
      <c r="V22" s="79"/>
      <c r="W22" s="79"/>
      <c r="X22" s="79"/>
    </row>
    <row r="23" spans="1:24">
      <c r="A23" s="94" t="s">
        <v>108</v>
      </c>
      <c r="B23" s="87">
        <f>B9/7.77</f>
        <v>16533.075933075936</v>
      </c>
      <c r="C23" s="87">
        <f>C9/7.87</f>
        <v>17216.772554002542</v>
      </c>
      <c r="D23" s="87">
        <f>D9/8.064</f>
        <v>17674.603174603173</v>
      </c>
      <c r="E23" s="88">
        <f t="shared" ref="E23:N23" si="13">E9*0.124</f>
        <v>18521.798656000003</v>
      </c>
      <c r="F23" s="87">
        <f t="shared" si="13"/>
        <v>18966.321823744001</v>
      </c>
      <c r="G23" s="87">
        <f t="shared" si="13"/>
        <v>19421.51354751386</v>
      </c>
      <c r="H23" s="87">
        <f t="shared" si="13"/>
        <v>19887.62987265419</v>
      </c>
      <c r="I23" s="87">
        <f t="shared" si="13"/>
        <v>20364.932989597892</v>
      </c>
      <c r="J23" s="88">
        <f t="shared" si="13"/>
        <v>20842.23610654159</v>
      </c>
      <c r="K23" s="87">
        <f t="shared" si="13"/>
        <v>21330.726015288663</v>
      </c>
      <c r="L23" s="87">
        <f t="shared" si="13"/>
        <v>21830.664906271988</v>
      </c>
      <c r="M23" s="87">
        <f t="shared" si="13"/>
        <v>22342.321115012735</v>
      </c>
      <c r="N23" s="110">
        <f t="shared" si="13"/>
        <v>22865.96926614585</v>
      </c>
      <c r="O23" s="89"/>
      <c r="P23" s="79"/>
      <c r="Q23" s="79"/>
      <c r="R23" s="79"/>
      <c r="S23" s="79"/>
      <c r="T23" s="79"/>
      <c r="U23" s="79"/>
      <c r="V23" s="79"/>
      <c r="W23" s="79"/>
      <c r="X23" s="79"/>
    </row>
    <row r="24" spans="1:24">
      <c r="A24" s="94" t="s">
        <v>109</v>
      </c>
      <c r="B24" s="87">
        <f>B9/6.1</f>
        <v>21059.344262295082</v>
      </c>
      <c r="C24" s="87">
        <f>C9/5.95</f>
        <v>22772.436974789915</v>
      </c>
      <c r="D24" s="87">
        <f>D9/5.988</f>
        <v>23802.271209084836</v>
      </c>
      <c r="E24" s="88">
        <f t="shared" ref="E24:N24" si="14">E9*0.167</f>
        <v>24944.680448000003</v>
      </c>
      <c r="F24" s="87">
        <f t="shared" si="14"/>
        <v>25543.352778752003</v>
      </c>
      <c r="G24" s="87">
        <f t="shared" si="14"/>
        <v>26156.393245442054</v>
      </c>
      <c r="H24" s="87">
        <f t="shared" si="14"/>
        <v>26784.146683332659</v>
      </c>
      <c r="I24" s="87">
        <f t="shared" si="14"/>
        <v>27426.966203732645</v>
      </c>
      <c r="J24" s="88">
        <f t="shared" si="14"/>
        <v>28069.785724132627</v>
      </c>
      <c r="K24" s="87">
        <f t="shared" si="14"/>
        <v>28727.67132704199</v>
      </c>
      <c r="L24" s="87">
        <f t="shared" si="14"/>
        <v>29400.976123769535</v>
      </c>
      <c r="M24" s="87">
        <f t="shared" si="14"/>
        <v>30090.061501670381</v>
      </c>
      <c r="N24" s="110">
        <f t="shared" si="14"/>
        <v>30795.297318115783</v>
      </c>
      <c r="O24" s="89"/>
      <c r="P24" s="79"/>
      <c r="Q24" s="79"/>
      <c r="R24" s="79"/>
      <c r="S24" s="79"/>
      <c r="T24" s="79"/>
      <c r="U24" s="79"/>
      <c r="V24" s="79"/>
      <c r="W24" s="79"/>
      <c r="X24" s="79"/>
    </row>
    <row r="25" spans="1:24">
      <c r="A25" s="94" t="s">
        <v>110</v>
      </c>
      <c r="B25" s="87">
        <v>43840</v>
      </c>
      <c r="C25" s="87">
        <v>46172</v>
      </c>
      <c r="D25" s="87">
        <v>48454</v>
      </c>
      <c r="E25" s="88">
        <v>50192</v>
      </c>
      <c r="F25" s="87">
        <f>E25+1500</f>
        <v>51692</v>
      </c>
      <c r="G25" s="87">
        <f>F25+1500</f>
        <v>53192</v>
      </c>
      <c r="H25" s="87">
        <f>G25+1500</f>
        <v>54692</v>
      </c>
      <c r="I25" s="87">
        <f>H25+1500</f>
        <v>56192</v>
      </c>
      <c r="J25" s="88">
        <f t="shared" ref="J25:N25" si="15">I25+1500</f>
        <v>57692</v>
      </c>
      <c r="K25" s="87">
        <f t="shared" si="15"/>
        <v>59192</v>
      </c>
      <c r="L25" s="87">
        <f t="shared" si="15"/>
        <v>60692</v>
      </c>
      <c r="M25" s="87">
        <f t="shared" si="15"/>
        <v>62192</v>
      </c>
      <c r="N25" s="110">
        <f t="shared" si="15"/>
        <v>63692</v>
      </c>
      <c r="O25" s="89"/>
      <c r="P25" s="79"/>
      <c r="Q25" s="79"/>
      <c r="R25" s="79"/>
      <c r="S25" s="79"/>
      <c r="T25" s="79"/>
      <c r="U25" s="79"/>
      <c r="V25" s="79"/>
      <c r="W25" s="79"/>
      <c r="X25" s="79"/>
    </row>
    <row r="26" spans="1:24">
      <c r="A26" s="94" t="s">
        <v>111</v>
      </c>
      <c r="B26" s="87">
        <v>16366</v>
      </c>
      <c r="C26" s="87">
        <v>18695</v>
      </c>
      <c r="D26" s="87">
        <v>21133</v>
      </c>
      <c r="E26" s="88">
        <v>23658</v>
      </c>
      <c r="F26" s="87">
        <f t="shared" ref="F26:N26" si="16">E26+F14</f>
        <v>26258</v>
      </c>
      <c r="G26" s="87">
        <f t="shared" si="16"/>
        <v>28933</v>
      </c>
      <c r="H26" s="87">
        <f t="shared" si="16"/>
        <v>31683</v>
      </c>
      <c r="I26" s="87">
        <f t="shared" si="16"/>
        <v>34508</v>
      </c>
      <c r="J26" s="88">
        <f t="shared" si="16"/>
        <v>37408</v>
      </c>
      <c r="K26" s="87">
        <f t="shared" si="16"/>
        <v>40383</v>
      </c>
      <c r="L26" s="87">
        <f t="shared" si="16"/>
        <v>43433</v>
      </c>
      <c r="M26" s="87">
        <f t="shared" si="16"/>
        <v>46558</v>
      </c>
      <c r="N26" s="110">
        <f t="shared" si="16"/>
        <v>49758</v>
      </c>
      <c r="O26" s="89"/>
      <c r="P26" s="79"/>
      <c r="Q26" s="79"/>
      <c r="R26" s="79"/>
      <c r="S26" s="79"/>
      <c r="T26" s="79"/>
      <c r="U26" s="79"/>
      <c r="V26" s="79"/>
      <c r="W26" s="79"/>
      <c r="X26" s="79"/>
    </row>
    <row r="27" spans="1:24">
      <c r="A27" s="94" t="s">
        <v>27</v>
      </c>
      <c r="B27" s="91">
        <f t="shared" ref="B27:H27" si="17">B25-B26</f>
        <v>27474</v>
      </c>
      <c r="C27" s="91">
        <f t="shared" si="17"/>
        <v>27477</v>
      </c>
      <c r="D27" s="91">
        <f t="shared" si="17"/>
        <v>27321</v>
      </c>
      <c r="E27" s="92">
        <f t="shared" si="17"/>
        <v>26534</v>
      </c>
      <c r="F27" s="91">
        <f t="shared" si="17"/>
        <v>25434</v>
      </c>
      <c r="G27" s="91">
        <f t="shared" si="17"/>
        <v>24259</v>
      </c>
      <c r="H27" s="91">
        <f t="shared" si="17"/>
        <v>23009</v>
      </c>
      <c r="I27" s="91">
        <f>I25-I26</f>
        <v>21684</v>
      </c>
      <c r="J27" s="92">
        <f t="shared" ref="J27:N27" si="18">J25-J26</f>
        <v>20284</v>
      </c>
      <c r="K27" s="91">
        <f t="shared" si="18"/>
        <v>18809</v>
      </c>
      <c r="L27" s="91">
        <f t="shared" si="18"/>
        <v>17259</v>
      </c>
      <c r="M27" s="91">
        <f t="shared" si="18"/>
        <v>15634</v>
      </c>
      <c r="N27" s="112">
        <f t="shared" si="18"/>
        <v>13934</v>
      </c>
      <c r="O27" s="89"/>
      <c r="P27" s="79"/>
      <c r="Q27" s="79"/>
      <c r="R27" s="79"/>
      <c r="S27" s="79"/>
      <c r="T27" s="79"/>
      <c r="U27" s="79"/>
      <c r="V27" s="79"/>
      <c r="W27" s="79"/>
      <c r="X27" s="79"/>
    </row>
    <row r="28" spans="1:24">
      <c r="A28" s="94" t="s">
        <v>112</v>
      </c>
      <c r="B28" s="87">
        <f t="shared" ref="B28:H28" si="19">B23+B24+B27</f>
        <v>65066.420195371014</v>
      </c>
      <c r="C28" s="87">
        <f t="shared" si="19"/>
        <v>67466.20952879246</v>
      </c>
      <c r="D28" s="120">
        <f t="shared" si="19"/>
        <v>68797.874383688002</v>
      </c>
      <c r="E28" s="87">
        <f t="shared" si="19"/>
        <v>70000.479103999998</v>
      </c>
      <c r="F28" s="87">
        <f t="shared" si="19"/>
        <v>69943.674602496001</v>
      </c>
      <c r="G28" s="87">
        <f t="shared" si="19"/>
        <v>69836.90679295591</v>
      </c>
      <c r="H28" s="87">
        <f t="shared" si="19"/>
        <v>69680.776555986842</v>
      </c>
      <c r="I28" s="87">
        <f>I23+I24+I27</f>
        <v>69475.899193330537</v>
      </c>
      <c r="J28" s="88">
        <f t="shared" ref="J28:N28" si="20">J23+J24+J27</f>
        <v>69196.021830674217</v>
      </c>
      <c r="K28" s="87">
        <f t="shared" si="20"/>
        <v>68867.39734233066</v>
      </c>
      <c r="L28" s="87">
        <f t="shared" si="20"/>
        <v>68490.64103004153</v>
      </c>
      <c r="M28" s="87">
        <f t="shared" si="20"/>
        <v>68066.382616683113</v>
      </c>
      <c r="N28" s="110">
        <f t="shared" si="20"/>
        <v>67595.266584261641</v>
      </c>
      <c r="O28" s="89"/>
      <c r="P28" s="79"/>
      <c r="Q28" s="79"/>
      <c r="R28" s="79"/>
      <c r="S28" s="79"/>
      <c r="T28" s="79"/>
      <c r="U28" s="79"/>
      <c r="V28" s="79"/>
      <c r="W28" s="79"/>
      <c r="X28" s="79"/>
    </row>
    <row r="29" spans="1:24">
      <c r="A29" s="79"/>
      <c r="B29" s="87"/>
      <c r="C29" s="87"/>
      <c r="D29" s="110"/>
      <c r="E29" s="87"/>
      <c r="F29" s="87"/>
      <c r="G29" s="87"/>
      <c r="H29" s="87"/>
      <c r="I29" s="87"/>
      <c r="J29" s="86"/>
      <c r="K29" s="79"/>
      <c r="L29" s="79"/>
      <c r="M29" s="79"/>
      <c r="N29" s="108"/>
      <c r="O29" s="89"/>
      <c r="P29" s="79"/>
      <c r="Q29" s="79"/>
      <c r="R29" s="79"/>
      <c r="S29" s="79"/>
      <c r="T29" s="79"/>
      <c r="U29" s="79"/>
      <c r="V29" s="79"/>
      <c r="W29" s="79"/>
      <c r="X29" s="79"/>
    </row>
    <row r="30" spans="1:24">
      <c r="A30" s="79" t="s">
        <v>113</v>
      </c>
      <c r="B30" s="87"/>
      <c r="C30" s="87"/>
      <c r="D30" s="110"/>
      <c r="E30" s="87"/>
      <c r="F30" s="87"/>
      <c r="G30" s="87"/>
      <c r="H30" s="87"/>
      <c r="I30" s="87"/>
      <c r="J30" s="86"/>
      <c r="K30" s="79"/>
      <c r="L30" s="79"/>
      <c r="M30" s="79"/>
      <c r="N30" s="108"/>
      <c r="O30" s="89"/>
      <c r="P30" s="79"/>
      <c r="Q30" s="79"/>
      <c r="R30" s="79"/>
      <c r="S30" s="79"/>
      <c r="T30" s="79"/>
      <c r="U30" s="79"/>
      <c r="V30" s="79"/>
      <c r="W30" s="79"/>
      <c r="X30" s="79"/>
    </row>
    <row r="31" spans="1:24">
      <c r="A31" s="119" t="s">
        <v>114</v>
      </c>
      <c r="B31" s="91">
        <f>B9/12.15</f>
        <v>10573.004115226337</v>
      </c>
      <c r="C31" s="91">
        <f>C9/12.16</f>
        <v>11142.763157894737</v>
      </c>
      <c r="D31" s="91">
        <f>D9/12.193</f>
        <v>11689.329943410154</v>
      </c>
      <c r="E31" s="92">
        <f t="shared" ref="E31:N31" si="21">E9*0.082</f>
        <v>12248.286208000001</v>
      </c>
      <c r="F31" s="91">
        <f t="shared" si="21"/>
        <v>12542.245076992001</v>
      </c>
      <c r="G31" s="91">
        <f t="shared" si="21"/>
        <v>12843.25895883981</v>
      </c>
      <c r="H31" s="91">
        <f t="shared" si="21"/>
        <v>13151.497173851965</v>
      </c>
      <c r="I31" s="91">
        <f t="shared" si="21"/>
        <v>13467.133106024414</v>
      </c>
      <c r="J31" s="92">
        <f t="shared" si="21"/>
        <v>13782.769038196859</v>
      </c>
      <c r="K31" s="91">
        <f t="shared" si="21"/>
        <v>14105.8026875296</v>
      </c>
      <c r="L31" s="91">
        <f t="shared" si="21"/>
        <v>14436.407438018574</v>
      </c>
      <c r="M31" s="91">
        <f t="shared" si="21"/>
        <v>14774.760737347133</v>
      </c>
      <c r="N31" s="112">
        <f t="shared" si="21"/>
        <v>15121.044192128707</v>
      </c>
      <c r="O31" s="89"/>
      <c r="P31" s="79"/>
      <c r="Q31" s="79"/>
      <c r="R31" s="79"/>
      <c r="S31" s="79"/>
      <c r="T31" s="79"/>
      <c r="U31" s="79"/>
      <c r="V31" s="79"/>
      <c r="W31" s="79"/>
      <c r="X31" s="79"/>
    </row>
    <row r="32" spans="1:24">
      <c r="A32" s="85" t="s">
        <v>115</v>
      </c>
      <c r="B32" s="115">
        <f t="shared" ref="B32:N32" si="22">B28-B31</f>
        <v>54493.416080144678</v>
      </c>
      <c r="C32" s="115">
        <f t="shared" si="22"/>
        <v>56323.446370897727</v>
      </c>
      <c r="D32" s="115">
        <f t="shared" si="22"/>
        <v>57108.544440277852</v>
      </c>
      <c r="E32" s="118">
        <f t="shared" si="22"/>
        <v>57752.192895999993</v>
      </c>
      <c r="F32" s="115">
        <f t="shared" si="22"/>
        <v>57401.429525503998</v>
      </c>
      <c r="G32" s="115">
        <f t="shared" si="22"/>
        <v>56993.647834116098</v>
      </c>
      <c r="H32" s="115">
        <f t="shared" si="22"/>
        <v>56529.279382134875</v>
      </c>
      <c r="I32" s="115">
        <f t="shared" si="22"/>
        <v>56008.766087306125</v>
      </c>
      <c r="J32" s="118">
        <f t="shared" si="22"/>
        <v>55413.25279247736</v>
      </c>
      <c r="K32" s="115">
        <f t="shared" si="22"/>
        <v>54761.594654801062</v>
      </c>
      <c r="L32" s="115">
        <f t="shared" si="22"/>
        <v>54054.233592022953</v>
      </c>
      <c r="M32" s="115">
        <f t="shared" si="22"/>
        <v>53291.62187933598</v>
      </c>
      <c r="N32" s="116">
        <f t="shared" si="22"/>
        <v>52474.222392132935</v>
      </c>
      <c r="O32" s="89"/>
      <c r="P32" s="79"/>
      <c r="Q32" s="79"/>
      <c r="R32" s="79"/>
      <c r="S32" s="79"/>
      <c r="T32" s="79"/>
      <c r="U32" s="79"/>
      <c r="V32" s="79"/>
      <c r="W32" s="79"/>
      <c r="X32" s="79"/>
    </row>
    <row r="33" spans="1:24">
      <c r="A33" s="79"/>
      <c r="B33" s="87"/>
      <c r="C33" s="87"/>
      <c r="D33" s="87"/>
      <c r="E33" s="88"/>
      <c r="F33" s="87"/>
      <c r="G33" s="87"/>
      <c r="H33" s="87"/>
      <c r="I33" s="87"/>
      <c r="J33" s="86"/>
      <c r="K33" s="79"/>
      <c r="L33" s="79"/>
      <c r="M33" s="79"/>
      <c r="N33" s="108"/>
      <c r="O33" s="89"/>
      <c r="P33" s="79"/>
      <c r="Q33" s="79"/>
      <c r="R33" s="79"/>
      <c r="S33" s="79"/>
      <c r="T33" s="79"/>
      <c r="U33" s="79"/>
      <c r="V33" s="79"/>
      <c r="W33" s="79"/>
      <c r="X33" s="79"/>
    </row>
    <row r="34" spans="1:24">
      <c r="A34" s="95" t="s">
        <v>116</v>
      </c>
      <c r="B34" s="83">
        <v>2010</v>
      </c>
      <c r="C34" s="83">
        <v>2011</v>
      </c>
      <c r="D34" s="83">
        <v>2012</v>
      </c>
      <c r="E34" s="84">
        <v>2013</v>
      </c>
      <c r="F34" s="83">
        <v>2014</v>
      </c>
      <c r="G34" s="83">
        <v>2015</v>
      </c>
      <c r="H34" s="83">
        <v>2016</v>
      </c>
      <c r="I34" s="83">
        <v>2017</v>
      </c>
      <c r="J34" s="84">
        <v>2018</v>
      </c>
      <c r="K34" s="83">
        <v>2019</v>
      </c>
      <c r="L34" s="83">
        <v>2020</v>
      </c>
      <c r="M34" s="83">
        <v>2021</v>
      </c>
      <c r="N34" s="109">
        <v>2022</v>
      </c>
      <c r="O34" s="89"/>
      <c r="P34" s="79"/>
      <c r="Q34" s="79"/>
      <c r="R34" s="79"/>
      <c r="S34" s="79"/>
      <c r="T34" s="79"/>
      <c r="U34" s="79"/>
      <c r="V34" s="79"/>
      <c r="W34" s="79"/>
      <c r="X34" s="79"/>
    </row>
    <row r="35" spans="1:24">
      <c r="A35" s="94" t="s">
        <v>117</v>
      </c>
      <c r="B35" s="96">
        <f t="shared" ref="B35:N35" si="23">B11/B9</f>
        <v>0.55579999999999996</v>
      </c>
      <c r="C35" s="96">
        <f t="shared" si="23"/>
        <v>0.55730000000000002</v>
      </c>
      <c r="D35" s="96">
        <f t="shared" si="23"/>
        <v>0.55589999999999995</v>
      </c>
      <c r="E35" s="97">
        <f t="shared" si="23"/>
        <v>0.55600000000000005</v>
      </c>
      <c r="F35" s="96">
        <f t="shared" si="23"/>
        <v>0.55500000000000005</v>
      </c>
      <c r="G35" s="96">
        <f t="shared" si="23"/>
        <v>0.55500000000000005</v>
      </c>
      <c r="H35" s="96">
        <f t="shared" si="23"/>
        <v>0.55500000000000005</v>
      </c>
      <c r="I35" s="96">
        <f t="shared" si="23"/>
        <v>0.55500000000000005</v>
      </c>
      <c r="J35" s="97">
        <f t="shared" si="23"/>
        <v>0.55500000000000005</v>
      </c>
      <c r="K35" s="96">
        <f t="shared" si="23"/>
        <v>0.55500000000000005</v>
      </c>
      <c r="L35" s="96">
        <f t="shared" si="23"/>
        <v>0.55500000000000005</v>
      </c>
      <c r="M35" s="96">
        <f t="shared" si="23"/>
        <v>0.55500000000000005</v>
      </c>
      <c r="N35" s="113">
        <f t="shared" si="23"/>
        <v>0.55500000000000005</v>
      </c>
      <c r="O35" s="89"/>
      <c r="P35" s="79"/>
      <c r="Q35" s="79"/>
      <c r="R35" s="79"/>
      <c r="S35" s="79"/>
      <c r="T35" s="79"/>
      <c r="U35" s="79"/>
      <c r="V35" s="79"/>
      <c r="W35" s="79"/>
      <c r="X35" s="79"/>
    </row>
    <row r="36" spans="1:24">
      <c r="A36" s="94" t="s">
        <v>118</v>
      </c>
      <c r="B36" s="96">
        <f t="shared" ref="B36:N36" si="24">B12/B9</f>
        <v>0.21240000000000001</v>
      </c>
      <c r="C36" s="96">
        <f t="shared" si="24"/>
        <v>0.21190000000000001</v>
      </c>
      <c r="D36" s="96">
        <f t="shared" si="24"/>
        <v>0.21260000000000001</v>
      </c>
      <c r="E36" s="97">
        <f t="shared" si="24"/>
        <v>0.21199999999999999</v>
      </c>
      <c r="F36" s="96">
        <f t="shared" si="24"/>
        <v>0.21</v>
      </c>
      <c r="G36" s="96">
        <f t="shared" si="24"/>
        <v>0.21</v>
      </c>
      <c r="H36" s="96">
        <f t="shared" si="24"/>
        <v>0.21</v>
      </c>
      <c r="I36" s="96">
        <f t="shared" si="24"/>
        <v>0.21</v>
      </c>
      <c r="J36" s="97">
        <f t="shared" si="24"/>
        <v>0.21000000000000002</v>
      </c>
      <c r="K36" s="96">
        <f t="shared" si="24"/>
        <v>0.21</v>
      </c>
      <c r="L36" s="96">
        <f t="shared" si="24"/>
        <v>0.21</v>
      </c>
      <c r="M36" s="96">
        <f t="shared" si="24"/>
        <v>0.21000000000000002</v>
      </c>
      <c r="N36" s="113">
        <f t="shared" si="24"/>
        <v>0.21</v>
      </c>
      <c r="O36" s="89"/>
      <c r="P36" s="79"/>
      <c r="Q36" s="79"/>
      <c r="R36" s="79"/>
      <c r="S36" s="79"/>
      <c r="T36" s="79"/>
      <c r="U36" s="79"/>
      <c r="V36" s="79"/>
      <c r="W36" s="79"/>
      <c r="X36" s="79"/>
    </row>
    <row r="37" spans="1:24">
      <c r="A37" s="94" t="s">
        <v>119</v>
      </c>
      <c r="B37" s="96">
        <f t="shared" ref="B37:N37" si="25">B13/B9</f>
        <v>2.58E-2</v>
      </c>
      <c r="C37" s="96">
        <f t="shared" si="25"/>
        <v>2.6700000000000002E-2</v>
      </c>
      <c r="D37" s="96">
        <f t="shared" si="25"/>
        <v>2.53E-2</v>
      </c>
      <c r="E37" s="97">
        <f t="shared" si="25"/>
        <v>2.5000000000000001E-2</v>
      </c>
      <c r="F37" s="96">
        <f t="shared" si="25"/>
        <v>2.5000000000000001E-2</v>
      </c>
      <c r="G37" s="96">
        <f t="shared" si="25"/>
        <v>2.5000000000000001E-2</v>
      </c>
      <c r="H37" s="96">
        <f t="shared" si="25"/>
        <v>2.5000000000000001E-2</v>
      </c>
      <c r="I37" s="96">
        <f t="shared" si="25"/>
        <v>2.5000000000000001E-2</v>
      </c>
      <c r="J37" s="97">
        <f t="shared" si="25"/>
        <v>2.5000000000000001E-2</v>
      </c>
      <c r="K37" s="96">
        <f t="shared" si="25"/>
        <v>2.4999999999999998E-2</v>
      </c>
      <c r="L37" s="96">
        <f t="shared" si="25"/>
        <v>2.5000000000000001E-2</v>
      </c>
      <c r="M37" s="96">
        <f t="shared" si="25"/>
        <v>2.5000000000000001E-2</v>
      </c>
      <c r="N37" s="113">
        <f t="shared" si="25"/>
        <v>2.5000000000000001E-2</v>
      </c>
      <c r="O37" s="89"/>
      <c r="P37" s="79"/>
      <c r="Q37" s="79"/>
      <c r="R37" s="79"/>
      <c r="S37" s="79"/>
      <c r="T37" s="79"/>
      <c r="U37" s="79"/>
      <c r="V37" s="79"/>
      <c r="W37" s="79"/>
      <c r="X37" s="79"/>
    </row>
    <row r="38" spans="1:24">
      <c r="A38" s="94" t="s">
        <v>120</v>
      </c>
      <c r="B38" s="96">
        <f t="shared" ref="B38:N38" si="26">B23/B9</f>
        <v>0.12870012870012873</v>
      </c>
      <c r="C38" s="96">
        <f t="shared" si="26"/>
        <v>0.12706480304955528</v>
      </c>
      <c r="D38" s="96">
        <f t="shared" si="26"/>
        <v>0.1240079365079365</v>
      </c>
      <c r="E38" s="97">
        <f t="shared" si="26"/>
        <v>0.12400000000000001</v>
      </c>
      <c r="F38" s="96">
        <f t="shared" si="26"/>
        <v>0.124</v>
      </c>
      <c r="G38" s="96">
        <f t="shared" si="26"/>
        <v>0.12400000000000001</v>
      </c>
      <c r="H38" s="96">
        <f t="shared" si="26"/>
        <v>0.124</v>
      </c>
      <c r="I38" s="96">
        <f t="shared" si="26"/>
        <v>0.124</v>
      </c>
      <c r="J38" s="97">
        <f t="shared" si="26"/>
        <v>0.12399999999999999</v>
      </c>
      <c r="K38" s="96">
        <f t="shared" si="26"/>
        <v>0.12400000000000001</v>
      </c>
      <c r="L38" s="96">
        <f t="shared" si="26"/>
        <v>0.124</v>
      </c>
      <c r="M38" s="96">
        <f t="shared" si="26"/>
        <v>0.12399999999999999</v>
      </c>
      <c r="N38" s="113">
        <f t="shared" si="26"/>
        <v>0.124</v>
      </c>
      <c r="O38" s="89"/>
      <c r="P38" s="79"/>
      <c r="Q38" s="79"/>
      <c r="R38" s="79"/>
      <c r="S38" s="79"/>
      <c r="T38" s="79"/>
      <c r="U38" s="79"/>
      <c r="V38" s="79"/>
      <c r="W38" s="79"/>
      <c r="X38" s="79"/>
    </row>
    <row r="39" spans="1:24">
      <c r="A39" s="94" t="s">
        <v>121</v>
      </c>
      <c r="B39" s="96">
        <f t="shared" ref="B39:N39" si="27">B24/B9</f>
        <v>0.16393442622950821</v>
      </c>
      <c r="C39" s="96">
        <f t="shared" si="27"/>
        <v>0.16806722689075629</v>
      </c>
      <c r="D39" s="96">
        <f t="shared" si="27"/>
        <v>0.16700066800267202</v>
      </c>
      <c r="E39" s="97">
        <f t="shared" si="27"/>
        <v>0.16700000000000001</v>
      </c>
      <c r="F39" s="96">
        <f t="shared" si="27"/>
        <v>0.16700000000000001</v>
      </c>
      <c r="G39" s="96">
        <f t="shared" si="27"/>
        <v>0.16700000000000001</v>
      </c>
      <c r="H39" s="96">
        <f t="shared" si="27"/>
        <v>0.16700000000000001</v>
      </c>
      <c r="I39" s="96">
        <f t="shared" si="27"/>
        <v>0.16700000000000001</v>
      </c>
      <c r="J39" s="97">
        <f t="shared" si="27"/>
        <v>0.16700000000000001</v>
      </c>
      <c r="K39" s="96">
        <f t="shared" si="27"/>
        <v>0.16700000000000001</v>
      </c>
      <c r="L39" s="96">
        <f t="shared" si="27"/>
        <v>0.16700000000000001</v>
      </c>
      <c r="M39" s="96">
        <f t="shared" si="27"/>
        <v>0.16700000000000001</v>
      </c>
      <c r="N39" s="113">
        <f t="shared" si="27"/>
        <v>0.16700000000000001</v>
      </c>
      <c r="O39" s="89"/>
      <c r="P39" s="79"/>
      <c r="Q39" s="79"/>
      <c r="R39" s="79"/>
      <c r="S39" s="79"/>
      <c r="T39" s="79"/>
      <c r="U39" s="79"/>
      <c r="V39" s="79"/>
      <c r="W39" s="79"/>
      <c r="X39" s="79"/>
    </row>
    <row r="40" spans="1:24">
      <c r="A40" s="94" t="s">
        <v>122</v>
      </c>
      <c r="B40" s="96">
        <f t="shared" ref="B40:N40" si="28">B27/B9</f>
        <v>0.21386869268733166</v>
      </c>
      <c r="C40" s="96">
        <f t="shared" si="28"/>
        <v>0.2027882741925961</v>
      </c>
      <c r="D40" s="96">
        <f t="shared" si="28"/>
        <v>0.19168865065110013</v>
      </c>
      <c r="E40" s="97">
        <f t="shared" si="28"/>
        <v>0.17764019904914358</v>
      </c>
      <c r="F40" s="96">
        <f t="shared" si="28"/>
        <v>0.16628506198032172</v>
      </c>
      <c r="G40" s="96">
        <f t="shared" si="28"/>
        <v>0.15488576586169661</v>
      </c>
      <c r="H40" s="96">
        <f t="shared" si="28"/>
        <v>0.14346184126863101</v>
      </c>
      <c r="I40" s="96">
        <f t="shared" si="28"/>
        <v>0.13203166449766407</v>
      </c>
      <c r="J40" s="97">
        <f t="shared" si="28"/>
        <v>0.1206787979534772</v>
      </c>
      <c r="K40" s="96">
        <f t="shared" si="28"/>
        <v>0.10934067590237329</v>
      </c>
      <c r="L40" s="96">
        <f t="shared" si="28"/>
        <v>9.8032561499541912E-2</v>
      </c>
      <c r="M40" s="96">
        <f t="shared" si="28"/>
        <v>8.6768782438515893E-2</v>
      </c>
      <c r="N40" s="113">
        <f t="shared" si="28"/>
        <v>7.5562771028390804E-2</v>
      </c>
      <c r="O40" s="89"/>
      <c r="P40" s="79"/>
      <c r="Q40" s="79"/>
      <c r="R40" s="79"/>
      <c r="S40" s="79"/>
      <c r="T40" s="79"/>
      <c r="U40" s="79"/>
      <c r="V40" s="79"/>
      <c r="W40" s="79"/>
      <c r="X40" s="79"/>
    </row>
    <row r="41" spans="1:24">
      <c r="A41" s="94" t="s">
        <v>114</v>
      </c>
      <c r="B41" s="96">
        <f t="shared" ref="B41:N41" si="29">B31/B9</f>
        <v>8.2304526748971193E-2</v>
      </c>
      <c r="C41" s="96">
        <f t="shared" si="29"/>
        <v>8.223684210526315E-2</v>
      </c>
      <c r="D41" s="96">
        <f t="shared" si="29"/>
        <v>8.2014270483064061E-2</v>
      </c>
      <c r="E41" s="97">
        <f t="shared" si="29"/>
        <v>8.2000000000000003E-2</v>
      </c>
      <c r="F41" s="96">
        <f t="shared" si="29"/>
        <v>8.2000000000000003E-2</v>
      </c>
      <c r="G41" s="96">
        <f t="shared" si="29"/>
        <v>8.2000000000000003E-2</v>
      </c>
      <c r="H41" s="96">
        <f t="shared" si="29"/>
        <v>8.2000000000000003E-2</v>
      </c>
      <c r="I41" s="96">
        <f t="shared" si="29"/>
        <v>8.2000000000000003E-2</v>
      </c>
      <c r="J41" s="97">
        <f t="shared" si="29"/>
        <v>8.2000000000000003E-2</v>
      </c>
      <c r="K41" s="96">
        <f t="shared" si="29"/>
        <v>8.2000000000000003E-2</v>
      </c>
      <c r="L41" s="96">
        <f t="shared" si="29"/>
        <v>8.2000000000000003E-2</v>
      </c>
      <c r="M41" s="96">
        <f t="shared" si="29"/>
        <v>8.2000000000000003E-2</v>
      </c>
      <c r="N41" s="113">
        <f t="shared" si="29"/>
        <v>8.2000000000000003E-2</v>
      </c>
      <c r="O41" s="89"/>
      <c r="P41" s="79"/>
      <c r="Q41" s="79"/>
      <c r="R41" s="79"/>
      <c r="S41" s="79"/>
      <c r="T41" s="79"/>
      <c r="U41" s="79"/>
      <c r="V41" s="79"/>
      <c r="W41" s="79"/>
      <c r="X41" s="79"/>
    </row>
    <row r="42" spans="1:24">
      <c r="A42" s="79"/>
      <c r="B42" s="87"/>
      <c r="C42" s="87"/>
      <c r="D42" s="87"/>
      <c r="E42" s="80"/>
      <c r="F42" s="81"/>
      <c r="G42" s="81"/>
      <c r="H42" s="79"/>
      <c r="I42" s="79"/>
      <c r="J42" s="86"/>
      <c r="K42" s="79"/>
      <c r="L42" s="79"/>
      <c r="M42" s="79"/>
      <c r="N42" s="108"/>
      <c r="O42" s="79"/>
      <c r="P42" s="79"/>
      <c r="Q42" s="79"/>
      <c r="R42" s="79"/>
      <c r="S42" s="79"/>
      <c r="T42" s="79"/>
      <c r="U42" s="79"/>
      <c r="V42" s="79"/>
      <c r="W42" s="79"/>
      <c r="X42" s="79"/>
    </row>
    <row r="43" spans="1:24">
      <c r="A43" s="79" t="s">
        <v>123</v>
      </c>
      <c r="B43" s="87">
        <f t="shared" ref="B43:N43" si="30">(B23+B24)-(B31)</f>
        <v>27019.416080144678</v>
      </c>
      <c r="C43" s="87">
        <f t="shared" si="30"/>
        <v>28846.446370897724</v>
      </c>
      <c r="D43" s="87">
        <f t="shared" si="30"/>
        <v>29787.544440277856</v>
      </c>
      <c r="E43" s="88">
        <f t="shared" si="30"/>
        <v>31218.192896000004</v>
      </c>
      <c r="F43" s="87">
        <f t="shared" si="30"/>
        <v>31967.429525503998</v>
      </c>
      <c r="G43" s="87">
        <f t="shared" si="30"/>
        <v>32734.647834116098</v>
      </c>
      <c r="H43" s="87">
        <f t="shared" si="30"/>
        <v>33520.279382134882</v>
      </c>
      <c r="I43" s="87">
        <f t="shared" si="30"/>
        <v>34324.766087306125</v>
      </c>
      <c r="J43" s="88">
        <f t="shared" si="30"/>
        <v>35129.25279247736</v>
      </c>
      <c r="K43" s="87">
        <f t="shared" si="30"/>
        <v>35952.594654801054</v>
      </c>
      <c r="L43" s="87">
        <f t="shared" si="30"/>
        <v>36795.233592022953</v>
      </c>
      <c r="M43" s="87">
        <f t="shared" si="30"/>
        <v>37657.62187933598</v>
      </c>
      <c r="N43" s="110">
        <f t="shared" si="30"/>
        <v>38540.222392132928</v>
      </c>
      <c r="O43" s="79"/>
      <c r="P43" s="79"/>
      <c r="Q43" s="79"/>
      <c r="R43" s="79"/>
      <c r="S43" s="79"/>
      <c r="T43" s="79"/>
      <c r="U43" s="79"/>
      <c r="V43" s="79"/>
      <c r="W43" s="79"/>
      <c r="X43" s="79"/>
    </row>
    <row r="44" spans="1:24">
      <c r="A44" s="79" t="s">
        <v>124</v>
      </c>
      <c r="B44" s="87"/>
      <c r="C44" s="87">
        <f>C43-B43</f>
        <v>1827.0302907530458</v>
      </c>
      <c r="D44" s="87">
        <f>D43-C43</f>
        <v>941.09806938013207</v>
      </c>
      <c r="E44" s="88">
        <f t="shared" ref="E44:N44" si="31">E43-D43</f>
        <v>1430.6484557221484</v>
      </c>
      <c r="F44" s="87">
        <f t="shared" si="31"/>
        <v>749.23662950399375</v>
      </c>
      <c r="G44" s="87">
        <f t="shared" si="31"/>
        <v>767.21830861210037</v>
      </c>
      <c r="H44" s="87">
        <f t="shared" si="31"/>
        <v>785.63154801878409</v>
      </c>
      <c r="I44" s="87">
        <f t="shared" si="31"/>
        <v>804.48670517124265</v>
      </c>
      <c r="J44" s="88">
        <f t="shared" si="31"/>
        <v>804.48670517123537</v>
      </c>
      <c r="K44" s="87">
        <f t="shared" si="31"/>
        <v>823.34186232369393</v>
      </c>
      <c r="L44" s="87">
        <f t="shared" si="31"/>
        <v>842.63893722189823</v>
      </c>
      <c r="M44" s="87">
        <f t="shared" si="31"/>
        <v>862.38828731302783</v>
      </c>
      <c r="N44" s="110">
        <f t="shared" si="31"/>
        <v>882.60051279694744</v>
      </c>
      <c r="O44" s="79"/>
      <c r="P44" s="79"/>
      <c r="Q44" s="79"/>
      <c r="R44" s="79"/>
      <c r="S44" s="79"/>
      <c r="T44" s="79"/>
      <c r="U44" s="79"/>
      <c r="V44" s="79"/>
      <c r="W44" s="79"/>
      <c r="X44" s="79"/>
    </row>
    <row r="45" spans="1:24">
      <c r="A45" s="79"/>
      <c r="B45" s="87"/>
      <c r="C45" s="87"/>
      <c r="D45" s="87"/>
      <c r="E45" s="88"/>
      <c r="F45" s="87"/>
      <c r="G45" s="87"/>
      <c r="H45" s="87"/>
      <c r="I45" s="87"/>
      <c r="J45" s="88"/>
      <c r="K45" s="87"/>
      <c r="L45" s="87"/>
      <c r="M45" s="87"/>
      <c r="N45" s="110"/>
      <c r="O45" s="79"/>
      <c r="P45" s="79"/>
      <c r="Q45" s="79"/>
      <c r="R45" s="79"/>
      <c r="S45" s="79"/>
      <c r="T45" s="79"/>
      <c r="U45" s="79"/>
      <c r="V45" s="79"/>
      <c r="W45" s="79"/>
      <c r="X45" s="79"/>
    </row>
    <row r="46" spans="1:24">
      <c r="A46" s="79" t="s">
        <v>125</v>
      </c>
      <c r="B46" s="87"/>
      <c r="C46" s="87"/>
      <c r="D46" s="87"/>
      <c r="E46" s="88">
        <f t="shared" ref="E46:N46" si="32">E25-D25</f>
        <v>1738</v>
      </c>
      <c r="F46" s="87">
        <f t="shared" si="32"/>
        <v>1500</v>
      </c>
      <c r="G46" s="87">
        <f t="shared" si="32"/>
        <v>1500</v>
      </c>
      <c r="H46" s="87">
        <f t="shared" si="32"/>
        <v>1500</v>
      </c>
      <c r="I46" s="87">
        <f t="shared" si="32"/>
        <v>1500</v>
      </c>
      <c r="J46" s="88">
        <f t="shared" si="32"/>
        <v>1500</v>
      </c>
      <c r="K46" s="87">
        <f t="shared" si="32"/>
        <v>1500</v>
      </c>
      <c r="L46" s="87">
        <f t="shared" si="32"/>
        <v>1500</v>
      </c>
      <c r="M46" s="87">
        <f t="shared" si="32"/>
        <v>1500</v>
      </c>
      <c r="N46" s="110">
        <f t="shared" si="32"/>
        <v>1500</v>
      </c>
      <c r="O46" s="79"/>
      <c r="P46" s="79"/>
      <c r="Q46" s="79"/>
      <c r="R46" s="79"/>
      <c r="S46" s="79"/>
      <c r="T46" s="79"/>
      <c r="U46" s="79"/>
      <c r="V46" s="79"/>
      <c r="W46" s="79"/>
      <c r="X46" s="79"/>
    </row>
    <row r="47" spans="1:24">
      <c r="A47" s="79"/>
      <c r="B47" s="87"/>
      <c r="C47" s="87"/>
      <c r="D47" s="87"/>
      <c r="E47" s="80"/>
      <c r="F47" s="81"/>
      <c r="G47" s="81"/>
      <c r="H47" s="79"/>
      <c r="I47" s="79"/>
      <c r="J47" s="86"/>
      <c r="K47" s="79"/>
      <c r="L47" s="79"/>
      <c r="M47" s="79"/>
      <c r="N47" s="108"/>
      <c r="O47" s="79"/>
      <c r="P47" s="79"/>
      <c r="Q47" s="79"/>
      <c r="R47" s="79"/>
      <c r="S47" s="79"/>
      <c r="T47" s="79"/>
      <c r="U47" s="79"/>
      <c r="V47" s="79"/>
      <c r="W47" s="79"/>
      <c r="X47" s="79"/>
    </row>
    <row r="48" spans="1:24">
      <c r="A48" s="79"/>
      <c r="B48" s="87"/>
      <c r="C48" s="87"/>
      <c r="D48" s="87"/>
      <c r="E48" s="84">
        <v>2013</v>
      </c>
      <c r="F48" s="83">
        <v>2014</v>
      </c>
      <c r="G48" s="83">
        <v>2015</v>
      </c>
      <c r="H48" s="83">
        <v>2016</v>
      </c>
      <c r="I48" s="83">
        <v>2017</v>
      </c>
      <c r="J48" s="84">
        <v>2018</v>
      </c>
      <c r="K48" s="83">
        <f>J48+1</f>
        <v>2019</v>
      </c>
      <c r="L48" s="83">
        <f t="shared" ref="L48:N48" si="33">K48+1</f>
        <v>2020</v>
      </c>
      <c r="M48" s="83">
        <f t="shared" si="33"/>
        <v>2021</v>
      </c>
      <c r="N48" s="109">
        <f t="shared" si="33"/>
        <v>2022</v>
      </c>
      <c r="O48" s="79"/>
      <c r="P48" s="79"/>
      <c r="Q48" s="79"/>
      <c r="R48" s="79"/>
      <c r="S48" s="79"/>
      <c r="T48" s="79"/>
      <c r="U48" s="79"/>
      <c r="V48" s="79"/>
      <c r="W48" s="79"/>
      <c r="X48" s="79"/>
    </row>
    <row r="49" spans="1:24">
      <c r="A49" s="79" t="s">
        <v>126</v>
      </c>
      <c r="B49" s="87"/>
      <c r="C49" s="87"/>
      <c r="D49" s="87"/>
      <c r="E49" s="88">
        <f t="shared" ref="E49:N49" si="34">E16</f>
        <v>28394.454207999996</v>
      </c>
      <c r="F49" s="87">
        <f t="shared" si="34"/>
        <v>29520.383733759998</v>
      </c>
      <c r="G49" s="87">
        <f t="shared" si="34"/>
        <v>30216.272943370248</v>
      </c>
      <c r="H49" s="87">
        <f t="shared" si="34"/>
        <v>30930.663494011125</v>
      </c>
      <c r="I49" s="87">
        <f t="shared" si="34"/>
        <v>31663.999417867395</v>
      </c>
      <c r="J49" s="88">
        <f t="shared" si="34"/>
        <v>32397.335341723665</v>
      </c>
      <c r="K49" s="87">
        <f t="shared" si="34"/>
        <v>33149.616638795327</v>
      </c>
      <c r="L49" s="87">
        <f t="shared" si="34"/>
        <v>33921.287341267045</v>
      </c>
      <c r="M49" s="87">
        <f t="shared" si="34"/>
        <v>34712.801888328017</v>
      </c>
      <c r="N49" s="110">
        <f t="shared" si="34"/>
        <v>35524.625370085705</v>
      </c>
      <c r="O49" s="79"/>
      <c r="P49" s="79"/>
      <c r="Q49" s="79"/>
      <c r="R49" s="79"/>
      <c r="S49" s="79"/>
      <c r="T49" s="79"/>
      <c r="U49" s="79"/>
      <c r="V49" s="79"/>
      <c r="W49" s="79"/>
      <c r="X49" s="79"/>
    </row>
    <row r="50" spans="1:24">
      <c r="A50" s="79" t="s">
        <v>127</v>
      </c>
      <c r="B50" s="87"/>
      <c r="C50" s="87"/>
      <c r="D50" s="87"/>
      <c r="E50" s="88">
        <f>E46</f>
        <v>1738</v>
      </c>
      <c r="F50" s="87">
        <f t="shared" ref="F50:N50" si="35">F46</f>
        <v>1500</v>
      </c>
      <c r="G50" s="87">
        <f t="shared" si="35"/>
        <v>1500</v>
      </c>
      <c r="H50" s="87">
        <f t="shared" si="35"/>
        <v>1500</v>
      </c>
      <c r="I50" s="87">
        <f t="shared" si="35"/>
        <v>1500</v>
      </c>
      <c r="J50" s="88">
        <f t="shared" si="35"/>
        <v>1500</v>
      </c>
      <c r="K50" s="87">
        <f t="shared" si="35"/>
        <v>1500</v>
      </c>
      <c r="L50" s="87">
        <f t="shared" si="35"/>
        <v>1500</v>
      </c>
      <c r="M50" s="87">
        <f t="shared" si="35"/>
        <v>1500</v>
      </c>
      <c r="N50" s="110">
        <f t="shared" si="35"/>
        <v>1500</v>
      </c>
      <c r="O50" s="79"/>
      <c r="P50" s="79"/>
      <c r="Q50" s="79"/>
      <c r="R50" s="79"/>
      <c r="S50" s="79"/>
      <c r="T50" s="79"/>
      <c r="U50" s="79"/>
      <c r="V50" s="79"/>
      <c r="W50" s="79"/>
      <c r="X50" s="79"/>
    </row>
    <row r="51" spans="1:24">
      <c r="A51" s="79" t="s">
        <v>128</v>
      </c>
      <c r="B51" s="87"/>
      <c r="C51" s="87"/>
      <c r="D51" s="87"/>
      <c r="E51" s="88">
        <f t="shared" ref="E51:N51" si="36">E44</f>
        <v>1430.6484557221484</v>
      </c>
      <c r="F51" s="87">
        <f t="shared" si="36"/>
        <v>749.23662950399375</v>
      </c>
      <c r="G51" s="87">
        <f t="shared" si="36"/>
        <v>767.21830861210037</v>
      </c>
      <c r="H51" s="87">
        <f t="shared" si="36"/>
        <v>785.63154801878409</v>
      </c>
      <c r="I51" s="87">
        <f t="shared" si="36"/>
        <v>804.48670517124265</v>
      </c>
      <c r="J51" s="88">
        <f t="shared" si="36"/>
        <v>804.48670517123537</v>
      </c>
      <c r="K51" s="87">
        <f t="shared" si="36"/>
        <v>823.34186232369393</v>
      </c>
      <c r="L51" s="87">
        <f t="shared" si="36"/>
        <v>842.63893722189823</v>
      </c>
      <c r="M51" s="87">
        <f t="shared" si="36"/>
        <v>862.38828731302783</v>
      </c>
      <c r="N51" s="110">
        <f t="shared" si="36"/>
        <v>882.60051279694744</v>
      </c>
      <c r="O51" s="79"/>
      <c r="P51" s="79"/>
      <c r="Q51" s="79"/>
      <c r="R51" s="79"/>
      <c r="S51" s="79"/>
      <c r="T51" s="79"/>
      <c r="U51" s="79"/>
      <c r="V51" s="79"/>
      <c r="W51" s="79"/>
      <c r="X51" s="79"/>
    </row>
    <row r="52" spans="1:24">
      <c r="A52" s="98" t="s">
        <v>129</v>
      </c>
      <c r="B52" s="99"/>
      <c r="C52" s="99"/>
      <c r="D52" s="99"/>
      <c r="E52" s="100">
        <f>E49-E50-E51</f>
        <v>25225.805752277847</v>
      </c>
      <c r="F52" s="99">
        <f t="shared" ref="F52:N52" si="37">F49-F50-F51</f>
        <v>27271.147104256004</v>
      </c>
      <c r="G52" s="99">
        <f t="shared" si="37"/>
        <v>27949.054634758148</v>
      </c>
      <c r="H52" s="99">
        <f t="shared" si="37"/>
        <v>28645.031945992341</v>
      </c>
      <c r="I52" s="99">
        <f t="shared" si="37"/>
        <v>29359.512712696152</v>
      </c>
      <c r="J52" s="100">
        <f t="shared" si="37"/>
        <v>30092.84863655243</v>
      </c>
      <c r="K52" s="99">
        <f t="shared" si="37"/>
        <v>30826.274776471633</v>
      </c>
      <c r="L52" s="99">
        <f t="shared" si="37"/>
        <v>31578.648404045147</v>
      </c>
      <c r="M52" s="99">
        <f t="shared" si="37"/>
        <v>32350.413601014989</v>
      </c>
      <c r="N52" s="114">
        <f t="shared" si="37"/>
        <v>33142.024857288758</v>
      </c>
      <c r="O52" s="101"/>
      <c r="P52" s="79"/>
      <c r="Q52" s="79"/>
      <c r="R52" s="79"/>
      <c r="S52" s="79"/>
      <c r="T52" s="79"/>
      <c r="U52" s="79"/>
      <c r="V52" s="79"/>
      <c r="W52" s="79"/>
      <c r="X52" s="79"/>
    </row>
    <row r="53" spans="1:24">
      <c r="A53" s="79" t="s">
        <v>130</v>
      </c>
      <c r="B53" s="87"/>
      <c r="C53" s="87"/>
      <c r="D53" s="87"/>
      <c r="E53" s="115">
        <f>E52/(1+WACC!$B$23)^E5</f>
        <v>24117.879536710359</v>
      </c>
      <c r="F53" s="115">
        <f>F52/(1+WACC!$B$23)^F5</f>
        <v>24928.236422046804</v>
      </c>
      <c r="G53" s="115">
        <f>G52/(1+WACC!$B$23)^G5</f>
        <v>24425.830889456302</v>
      </c>
      <c r="H53" s="115">
        <f>H52/(1+WACC!$B$23)^H5</f>
        <v>23934.568853048058</v>
      </c>
      <c r="I53" s="115">
        <f>I52/(1+WACC!$B$23)^I5</f>
        <v>23454.123919966773</v>
      </c>
      <c r="J53" s="118">
        <f>J52/(1+WACC!$B$23)^J5</f>
        <v>22984.112956002984</v>
      </c>
      <c r="K53" s="115">
        <f>K52/(1+WACC!$B$23)^K5</f>
        <v>22510.211024456581</v>
      </c>
      <c r="L53" s="115">
        <f>L52/(1+WACC!$B$23)^L5</f>
        <v>22046.828988016161</v>
      </c>
      <c r="M53" s="115">
        <f>M52/(1+WACC!$B$23)^M5</f>
        <v>21593.672356802952</v>
      </c>
      <c r="N53" s="116">
        <f>N52/(1+WACC!$B$23)^N5</f>
        <v>21150.458338032309</v>
      </c>
      <c r="O53" s="79"/>
      <c r="P53" s="79"/>
      <c r="Q53" s="79"/>
      <c r="R53" s="79"/>
      <c r="S53" s="79"/>
      <c r="T53" s="79"/>
      <c r="U53" s="79"/>
      <c r="V53" s="79"/>
      <c r="W53" s="79"/>
      <c r="X53" s="79"/>
    </row>
    <row r="54" spans="1:24">
      <c r="A54" s="79"/>
      <c r="B54" s="87"/>
      <c r="C54" s="87"/>
      <c r="D54" s="87"/>
      <c r="E54" s="81"/>
      <c r="F54" s="81"/>
      <c r="G54" s="81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</row>
    <row r="55" spans="1:24">
      <c r="A55" s="79" t="s">
        <v>131</v>
      </c>
      <c r="B55" s="107">
        <f>SUM(E53:N53)</f>
        <v>231145.92328453928</v>
      </c>
      <c r="C55" s="87"/>
      <c r="D55" s="87"/>
      <c r="E55" s="81"/>
      <c r="F55" s="81"/>
      <c r="G55" s="81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</row>
    <row r="56" spans="1:24">
      <c r="A56" s="79" t="s">
        <v>132</v>
      </c>
      <c r="B56" s="107">
        <f>N52*9</f>
        <v>298278.22371559881</v>
      </c>
      <c r="C56" s="107"/>
      <c r="D56" s="107"/>
    </row>
    <row r="57" spans="1:24">
      <c r="A57" s="85" t="s">
        <v>133</v>
      </c>
      <c r="B57" s="130">
        <f>B56+B55</f>
        <v>529424.14700013807</v>
      </c>
      <c r="C57" s="107"/>
      <c r="D57" s="107"/>
    </row>
    <row r="58" spans="1:24">
      <c r="B58" s="107"/>
      <c r="C58" s="107"/>
      <c r="D58" s="107"/>
    </row>
    <row r="59" spans="1:24">
      <c r="B59" s="107"/>
      <c r="C59" s="107"/>
      <c r="D59" s="107"/>
    </row>
    <row r="60" spans="1:24">
      <c r="B60" s="107"/>
      <c r="C60" s="107"/>
      <c r="D60" s="107"/>
    </row>
    <row r="61" spans="1:24">
      <c r="B61" s="107"/>
      <c r="C61" s="107"/>
      <c r="D61" s="107"/>
    </row>
    <row r="62" spans="1:24">
      <c r="B62" s="107"/>
      <c r="C62" s="107"/>
      <c r="D62" s="107"/>
    </row>
    <row r="63" spans="1:24">
      <c r="B63" s="107"/>
      <c r="C63" s="107"/>
      <c r="D63" s="107"/>
    </row>
    <row r="64" spans="1:24">
      <c r="B64" s="107"/>
      <c r="C64" s="107"/>
      <c r="D64" s="107"/>
    </row>
    <row r="65" spans="2:4">
      <c r="B65" s="107"/>
      <c r="C65" s="107"/>
      <c r="D65" s="107"/>
    </row>
    <row r="66" spans="2:4">
      <c r="B66" s="107"/>
      <c r="C66" s="107"/>
      <c r="D66" s="107"/>
    </row>
    <row r="67" spans="2:4">
      <c r="B67" s="107"/>
      <c r="C67" s="107"/>
      <c r="D67" s="107"/>
    </row>
    <row r="68" spans="2:4">
      <c r="B68" s="107"/>
      <c r="C68" s="107"/>
      <c r="D68" s="107"/>
    </row>
    <row r="69" spans="2:4">
      <c r="B69" s="107"/>
      <c r="C69" s="107"/>
      <c r="D69" s="107"/>
    </row>
    <row r="70" spans="2:4">
      <c r="B70" s="107"/>
      <c r="C70" s="107"/>
      <c r="D70" s="107"/>
    </row>
    <row r="71" spans="2:4">
      <c r="B71" s="107"/>
      <c r="C71" s="107"/>
      <c r="D71" s="107"/>
    </row>
    <row r="72" spans="2:4">
      <c r="B72" s="107"/>
      <c r="C72" s="107"/>
      <c r="D72" s="107"/>
    </row>
    <row r="73" spans="2:4">
      <c r="B73" s="107"/>
      <c r="C73" s="107"/>
      <c r="D73" s="107"/>
    </row>
    <row r="74" spans="2:4">
      <c r="B74" s="107"/>
      <c r="C74" s="107"/>
      <c r="D74" s="107"/>
    </row>
    <row r="75" spans="2:4">
      <c r="B75" s="107"/>
      <c r="C75" s="107"/>
      <c r="D75" s="107"/>
    </row>
    <row r="76" spans="2:4">
      <c r="B76" s="107"/>
      <c r="C76" s="107"/>
      <c r="D76" s="107"/>
    </row>
    <row r="77" spans="2:4">
      <c r="B77" s="107"/>
      <c r="C77" s="107"/>
      <c r="D77" s="107"/>
    </row>
    <row r="78" spans="2:4">
      <c r="B78" s="107"/>
      <c r="C78" s="107"/>
      <c r="D78" s="107"/>
    </row>
    <row r="79" spans="2:4">
      <c r="B79" s="107"/>
      <c r="C79" s="107"/>
      <c r="D79" s="107"/>
    </row>
    <row r="80" spans="2:4">
      <c r="B80" s="107"/>
      <c r="C80" s="107"/>
      <c r="D80" s="107"/>
    </row>
    <row r="81" spans="2:4">
      <c r="B81" s="107"/>
      <c r="C81" s="107"/>
      <c r="D81" s="107"/>
    </row>
    <row r="82" spans="2:4">
      <c r="B82" s="107"/>
      <c r="C82" s="107"/>
      <c r="D82" s="107"/>
    </row>
    <row r="83" spans="2:4">
      <c r="B83" s="107"/>
      <c r="C83" s="107"/>
      <c r="D83" s="107"/>
    </row>
    <row r="84" spans="2:4">
      <c r="B84" s="107"/>
      <c r="C84" s="107"/>
      <c r="D84" s="107"/>
    </row>
    <row r="85" spans="2:4">
      <c r="B85" s="107"/>
      <c r="C85" s="107"/>
      <c r="D85" s="107"/>
    </row>
    <row r="86" spans="2:4">
      <c r="B86" s="107"/>
      <c r="C86" s="107"/>
      <c r="D86" s="107"/>
    </row>
    <row r="87" spans="2:4">
      <c r="B87" s="107"/>
      <c r="C87" s="107"/>
      <c r="D87" s="107"/>
    </row>
    <row r="88" spans="2:4">
      <c r="B88" s="107"/>
      <c r="C88" s="107"/>
      <c r="D88" s="107"/>
    </row>
    <row r="89" spans="2:4">
      <c r="B89" s="107"/>
      <c r="C89" s="107"/>
      <c r="D89" s="107"/>
    </row>
    <row r="90" spans="2:4">
      <c r="B90" s="107"/>
      <c r="C90" s="107"/>
      <c r="D90" s="107"/>
    </row>
    <row r="91" spans="2:4">
      <c r="B91" s="107"/>
      <c r="C91" s="107"/>
      <c r="D91" s="107"/>
    </row>
    <row r="92" spans="2:4">
      <c r="B92" s="107"/>
      <c r="C92" s="107"/>
      <c r="D92" s="107"/>
    </row>
    <row r="93" spans="2:4">
      <c r="B93" s="107"/>
      <c r="C93" s="107"/>
      <c r="D93" s="107"/>
    </row>
    <row r="94" spans="2:4">
      <c r="B94" s="107"/>
      <c r="C94" s="107"/>
      <c r="D94" s="107"/>
    </row>
    <row r="95" spans="2:4">
      <c r="B95" s="107"/>
      <c r="C95" s="107"/>
      <c r="D95" s="107"/>
    </row>
    <row r="96" spans="2:4">
      <c r="B96" s="107"/>
      <c r="C96" s="107"/>
      <c r="D96" s="107"/>
    </row>
    <row r="97" spans="2:4">
      <c r="B97" s="107"/>
      <c r="C97" s="107"/>
      <c r="D97" s="107"/>
    </row>
    <row r="98" spans="2:4">
      <c r="B98" s="107"/>
      <c r="C98" s="107"/>
      <c r="D98" s="107"/>
    </row>
    <row r="99" spans="2:4">
      <c r="B99" s="107"/>
      <c r="C99" s="107"/>
      <c r="D99" s="107"/>
    </row>
    <row r="100" spans="2:4">
      <c r="B100" s="107"/>
      <c r="C100" s="107"/>
      <c r="D100" s="107"/>
    </row>
    <row r="101" spans="2:4">
      <c r="B101" s="107"/>
      <c r="C101" s="107"/>
      <c r="D101" s="107"/>
    </row>
    <row r="102" spans="2:4">
      <c r="B102" s="107"/>
      <c r="C102" s="107"/>
      <c r="D102" s="107"/>
    </row>
    <row r="103" spans="2:4">
      <c r="B103" s="107"/>
      <c r="C103" s="107"/>
      <c r="D103" s="107"/>
    </row>
    <row r="104" spans="2:4">
      <c r="B104" s="107"/>
      <c r="C104" s="107"/>
      <c r="D104" s="107"/>
    </row>
    <row r="105" spans="2:4">
      <c r="B105" s="107"/>
      <c r="C105" s="107"/>
      <c r="D105" s="107"/>
    </row>
    <row r="106" spans="2:4">
      <c r="B106" s="107"/>
      <c r="C106" s="107"/>
      <c r="D106" s="107"/>
    </row>
    <row r="107" spans="2:4">
      <c r="B107" s="107"/>
      <c r="C107" s="107"/>
      <c r="D107" s="107"/>
    </row>
    <row r="108" spans="2:4">
      <c r="B108" s="107"/>
      <c r="C108" s="107"/>
      <c r="D108" s="107"/>
    </row>
    <row r="109" spans="2:4">
      <c r="B109" s="107"/>
      <c r="C109" s="107"/>
      <c r="D109" s="107"/>
    </row>
    <row r="110" spans="2:4">
      <c r="B110" s="107"/>
      <c r="C110" s="107"/>
      <c r="D110" s="107"/>
    </row>
    <row r="111" spans="2:4">
      <c r="B111" s="107"/>
      <c r="C111" s="107"/>
      <c r="D111" s="107"/>
    </row>
    <row r="112" spans="2:4">
      <c r="B112" s="107"/>
      <c r="C112" s="107"/>
      <c r="D112" s="107"/>
    </row>
    <row r="113" spans="2:4">
      <c r="B113" s="107"/>
      <c r="C113" s="107"/>
      <c r="D113" s="107"/>
    </row>
    <row r="114" spans="2:4">
      <c r="B114" s="107"/>
      <c r="C114" s="107"/>
      <c r="D114" s="107"/>
    </row>
    <row r="115" spans="2:4">
      <c r="B115" s="107"/>
      <c r="C115" s="107"/>
      <c r="D115" s="107"/>
    </row>
    <row r="116" spans="2:4">
      <c r="B116" s="107"/>
      <c r="C116" s="107"/>
      <c r="D116" s="107"/>
    </row>
    <row r="117" spans="2:4">
      <c r="B117" s="107"/>
      <c r="C117" s="107"/>
      <c r="D117" s="107"/>
    </row>
    <row r="118" spans="2:4">
      <c r="B118" s="107"/>
      <c r="C118" s="107"/>
      <c r="D118" s="107"/>
    </row>
    <row r="119" spans="2:4">
      <c r="B119" s="107"/>
      <c r="C119" s="107"/>
      <c r="D119" s="107"/>
    </row>
    <row r="120" spans="2:4">
      <c r="B120" s="107"/>
      <c r="C120" s="107"/>
      <c r="D120" s="107"/>
    </row>
    <row r="121" spans="2:4">
      <c r="B121" s="107"/>
      <c r="C121" s="107"/>
      <c r="D121" s="107"/>
    </row>
    <row r="122" spans="2:4">
      <c r="B122" s="107"/>
      <c r="C122" s="107"/>
      <c r="D122" s="107"/>
    </row>
    <row r="123" spans="2:4">
      <c r="B123" s="107"/>
      <c r="C123" s="107"/>
      <c r="D123" s="107"/>
    </row>
    <row r="124" spans="2:4">
      <c r="B124" s="107"/>
      <c r="C124" s="107"/>
      <c r="D124" s="107"/>
    </row>
    <row r="125" spans="2:4">
      <c r="B125" s="107"/>
      <c r="C125" s="107"/>
      <c r="D125" s="107"/>
    </row>
    <row r="126" spans="2:4">
      <c r="B126" s="107"/>
      <c r="C126" s="107"/>
      <c r="D126" s="107"/>
    </row>
    <row r="127" spans="2:4">
      <c r="B127" s="107"/>
      <c r="C127" s="107"/>
      <c r="D127" s="107"/>
    </row>
    <row r="128" spans="2:4">
      <c r="B128" s="107"/>
      <c r="C128" s="107"/>
      <c r="D128" s="107"/>
    </row>
    <row r="129" spans="2:4">
      <c r="B129" s="107"/>
      <c r="C129" s="107"/>
      <c r="D129" s="107"/>
    </row>
    <row r="130" spans="2:4">
      <c r="B130" s="107"/>
      <c r="C130" s="107"/>
      <c r="D130" s="107"/>
    </row>
    <row r="131" spans="2:4">
      <c r="B131" s="107"/>
      <c r="C131" s="107"/>
      <c r="D131" s="107"/>
    </row>
    <row r="132" spans="2:4">
      <c r="B132" s="107"/>
      <c r="C132" s="107"/>
      <c r="D132" s="107"/>
    </row>
    <row r="133" spans="2:4">
      <c r="B133" s="107"/>
      <c r="C133" s="107"/>
      <c r="D133" s="107"/>
    </row>
    <row r="134" spans="2:4">
      <c r="B134" s="107"/>
      <c r="C134" s="107"/>
      <c r="D134" s="107"/>
    </row>
    <row r="135" spans="2:4">
      <c r="B135" s="107"/>
      <c r="C135" s="107"/>
      <c r="D135" s="107"/>
    </row>
    <row r="136" spans="2:4">
      <c r="B136" s="107"/>
      <c r="C136" s="107"/>
      <c r="D136" s="107"/>
    </row>
    <row r="137" spans="2:4">
      <c r="B137" s="107"/>
      <c r="C137" s="107"/>
      <c r="D137" s="107"/>
    </row>
    <row r="138" spans="2:4">
      <c r="B138" s="107"/>
      <c r="C138" s="107"/>
      <c r="D138" s="107"/>
    </row>
    <row r="139" spans="2:4">
      <c r="B139" s="107"/>
      <c r="C139" s="107"/>
      <c r="D139" s="107"/>
    </row>
    <row r="140" spans="2:4">
      <c r="B140" s="107"/>
      <c r="C140" s="107"/>
      <c r="D140" s="107"/>
    </row>
    <row r="141" spans="2:4">
      <c r="B141" s="107"/>
      <c r="C141" s="107"/>
      <c r="D141" s="107"/>
    </row>
    <row r="142" spans="2:4">
      <c r="B142" s="107"/>
      <c r="C142" s="107"/>
      <c r="D142" s="107"/>
    </row>
    <row r="143" spans="2:4">
      <c r="B143" s="107"/>
      <c r="C143" s="107"/>
      <c r="D143" s="107"/>
    </row>
    <row r="144" spans="2:4">
      <c r="B144" s="107"/>
      <c r="C144" s="107"/>
      <c r="D144" s="107"/>
    </row>
    <row r="145" spans="2:4">
      <c r="B145" s="107"/>
      <c r="C145" s="107"/>
      <c r="D145" s="107"/>
    </row>
    <row r="146" spans="2:4">
      <c r="B146" s="107"/>
      <c r="C146" s="107"/>
      <c r="D146" s="107"/>
    </row>
    <row r="147" spans="2:4">
      <c r="B147" s="107"/>
      <c r="C147" s="107"/>
      <c r="D147" s="107"/>
    </row>
    <row r="148" spans="2:4">
      <c r="B148" s="107"/>
      <c r="C148" s="107"/>
      <c r="D148" s="107"/>
    </row>
    <row r="149" spans="2:4">
      <c r="B149" s="107"/>
      <c r="C149" s="107"/>
      <c r="D149" s="107"/>
    </row>
    <row r="150" spans="2:4">
      <c r="B150" s="107"/>
      <c r="C150" s="107"/>
      <c r="D150" s="107"/>
    </row>
    <row r="151" spans="2:4">
      <c r="B151" s="107"/>
      <c r="C151" s="107"/>
      <c r="D151" s="107"/>
    </row>
    <row r="152" spans="2:4">
      <c r="B152" s="107"/>
      <c r="C152" s="107"/>
      <c r="D152" s="107"/>
    </row>
    <row r="153" spans="2:4">
      <c r="B153" s="107"/>
      <c r="C153" s="107"/>
      <c r="D153" s="107"/>
    </row>
    <row r="154" spans="2:4">
      <c r="B154" s="107"/>
      <c r="C154" s="107"/>
      <c r="D154" s="107"/>
    </row>
    <row r="155" spans="2:4">
      <c r="B155" s="107"/>
      <c r="C155" s="107"/>
      <c r="D155" s="107"/>
    </row>
    <row r="156" spans="2:4">
      <c r="B156" s="107"/>
      <c r="C156" s="107"/>
      <c r="D156" s="107"/>
    </row>
    <row r="157" spans="2:4">
      <c r="B157" s="107"/>
      <c r="C157" s="107"/>
      <c r="D157" s="107"/>
    </row>
    <row r="158" spans="2:4">
      <c r="B158" s="107"/>
      <c r="C158" s="107"/>
      <c r="D158" s="107"/>
    </row>
    <row r="159" spans="2:4">
      <c r="B159" s="107"/>
      <c r="C159" s="107"/>
      <c r="D159" s="107"/>
    </row>
    <row r="160" spans="2:4">
      <c r="B160" s="107"/>
      <c r="C160" s="107"/>
      <c r="D160" s="107"/>
    </row>
    <row r="161" spans="2:4">
      <c r="B161" s="107"/>
      <c r="C161" s="107"/>
      <c r="D161" s="107"/>
    </row>
    <row r="162" spans="2:4">
      <c r="B162" s="107"/>
      <c r="C162" s="107"/>
      <c r="D162" s="107"/>
    </row>
    <row r="163" spans="2:4">
      <c r="B163" s="107"/>
      <c r="C163" s="107"/>
      <c r="D163" s="107"/>
    </row>
    <row r="164" spans="2:4">
      <c r="B164" s="107"/>
      <c r="C164" s="107"/>
      <c r="D164" s="107"/>
    </row>
    <row r="165" spans="2:4">
      <c r="B165" s="107"/>
      <c r="C165" s="107"/>
      <c r="D165" s="107"/>
    </row>
    <row r="166" spans="2:4">
      <c r="B166" s="107"/>
      <c r="C166" s="107"/>
      <c r="D166" s="107"/>
    </row>
    <row r="167" spans="2:4">
      <c r="B167" s="107"/>
      <c r="C167" s="107"/>
      <c r="D167" s="107"/>
    </row>
    <row r="168" spans="2:4">
      <c r="B168" s="107"/>
      <c r="C168" s="107"/>
      <c r="D168" s="107"/>
    </row>
    <row r="169" spans="2:4">
      <c r="B169" s="107"/>
      <c r="C169" s="107"/>
      <c r="D169" s="107"/>
    </row>
    <row r="170" spans="2:4">
      <c r="B170" s="107"/>
      <c r="C170" s="107"/>
      <c r="D170" s="107"/>
    </row>
    <row r="171" spans="2:4">
      <c r="B171" s="107"/>
      <c r="C171" s="107"/>
      <c r="D171" s="107"/>
    </row>
    <row r="172" spans="2:4">
      <c r="B172" s="107"/>
      <c r="C172" s="107"/>
      <c r="D172" s="107"/>
    </row>
    <row r="173" spans="2:4">
      <c r="B173" s="107"/>
      <c r="C173" s="107"/>
      <c r="D173" s="107"/>
    </row>
    <row r="174" spans="2:4">
      <c r="B174" s="107"/>
      <c r="C174" s="107"/>
      <c r="D174" s="107"/>
    </row>
    <row r="175" spans="2:4">
      <c r="B175" s="107"/>
      <c r="C175" s="107"/>
      <c r="D175" s="107"/>
    </row>
    <row r="176" spans="2:4">
      <c r="B176" s="107"/>
      <c r="C176" s="107"/>
      <c r="D176" s="107"/>
    </row>
    <row r="177" spans="2:4">
      <c r="B177" s="107"/>
      <c r="C177" s="107"/>
      <c r="D177" s="107"/>
    </row>
    <row r="178" spans="2:4">
      <c r="B178" s="107"/>
      <c r="C178" s="107"/>
      <c r="D178" s="107"/>
    </row>
    <row r="179" spans="2:4">
      <c r="B179" s="107"/>
      <c r="C179" s="107"/>
      <c r="D179" s="107"/>
    </row>
    <row r="180" spans="2:4">
      <c r="B180" s="107"/>
      <c r="C180" s="107"/>
      <c r="D180" s="107"/>
    </row>
    <row r="181" spans="2:4">
      <c r="B181" s="107"/>
      <c r="C181" s="107"/>
      <c r="D181" s="107"/>
    </row>
    <row r="182" spans="2:4">
      <c r="B182" s="107"/>
      <c r="C182" s="107"/>
      <c r="D182" s="107"/>
    </row>
    <row r="183" spans="2:4">
      <c r="B183" s="107"/>
      <c r="C183" s="107"/>
      <c r="D183" s="107"/>
    </row>
    <row r="184" spans="2:4">
      <c r="B184" s="107"/>
      <c r="C184" s="107"/>
      <c r="D184" s="107"/>
    </row>
    <row r="185" spans="2:4">
      <c r="B185" s="107"/>
      <c r="C185" s="107"/>
      <c r="D185" s="107"/>
    </row>
    <row r="186" spans="2:4">
      <c r="B186" s="107"/>
      <c r="C186" s="107"/>
      <c r="D186" s="107"/>
    </row>
    <row r="187" spans="2:4">
      <c r="B187" s="107"/>
      <c r="C187" s="107"/>
      <c r="D187" s="107"/>
    </row>
    <row r="188" spans="2:4">
      <c r="B188" s="107"/>
      <c r="C188" s="107"/>
      <c r="D188" s="107"/>
    </row>
    <row r="189" spans="2:4">
      <c r="B189" s="107"/>
      <c r="C189" s="107"/>
      <c r="D189" s="107"/>
    </row>
    <row r="190" spans="2:4">
      <c r="B190" s="107"/>
      <c r="C190" s="107"/>
      <c r="D190" s="107"/>
    </row>
    <row r="191" spans="2:4">
      <c r="B191" s="107"/>
      <c r="C191" s="107"/>
      <c r="D191" s="107"/>
    </row>
    <row r="192" spans="2:4">
      <c r="B192" s="107"/>
      <c r="C192" s="107"/>
      <c r="D192" s="107"/>
    </row>
    <row r="193" spans="2:4">
      <c r="B193" s="107"/>
      <c r="C193" s="107"/>
      <c r="D193" s="107"/>
    </row>
  </sheetData>
  <pageMargins left="0.95" right="0.7" top="0.5" bottom="0.5" header="0" footer="0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5"/>
  <sheetViews>
    <sheetView topLeftCell="A31" workbookViewId="0">
      <selection activeCell="C26" sqref="C26"/>
    </sheetView>
  </sheetViews>
  <sheetFormatPr defaultRowHeight="15"/>
  <cols>
    <col min="1" max="1" width="43.42578125" style="102" bestFit="1" customWidth="1"/>
    <col min="2" max="2" width="14.28515625" style="102" bestFit="1" customWidth="1"/>
    <col min="3" max="4" width="9.5703125" style="102" bestFit="1" customWidth="1"/>
    <col min="5" max="7" width="9.5703125" style="103" bestFit="1" customWidth="1"/>
    <col min="8" max="14" width="9.5703125" style="102" bestFit="1" customWidth="1"/>
    <col min="15" max="15" width="12.5703125" style="102" bestFit="1" customWidth="1"/>
    <col min="16" max="16384" width="9.140625" style="102"/>
  </cols>
  <sheetData>
    <row r="1" spans="1:15">
      <c r="A1" s="102" t="s">
        <v>0</v>
      </c>
    </row>
    <row r="3" spans="1:15">
      <c r="A3" s="102" t="s">
        <v>94</v>
      </c>
    </row>
    <row r="4" spans="1:15">
      <c r="A4" s="104" t="s">
        <v>95</v>
      </c>
    </row>
    <row r="5" spans="1:15">
      <c r="E5" s="105">
        <v>1</v>
      </c>
      <c r="F5" s="105">
        <v>2</v>
      </c>
      <c r="G5" s="105">
        <v>3</v>
      </c>
      <c r="H5" s="106">
        <v>4</v>
      </c>
      <c r="I5" s="106">
        <v>5</v>
      </c>
      <c r="J5" s="106">
        <v>6</v>
      </c>
      <c r="K5" s="106">
        <v>7</v>
      </c>
      <c r="L5" s="106">
        <v>8</v>
      </c>
      <c r="M5" s="106">
        <v>9</v>
      </c>
      <c r="N5" s="106">
        <v>10</v>
      </c>
      <c r="O5" s="106"/>
    </row>
    <row r="6" spans="1:15">
      <c r="A6" s="121" t="s">
        <v>96</v>
      </c>
      <c r="E6" s="137" t="s">
        <v>97</v>
      </c>
      <c r="F6" s="138"/>
      <c r="G6" s="81"/>
      <c r="L6" s="79"/>
    </row>
    <row r="7" spans="1:15">
      <c r="A7" s="122" t="s">
        <v>99</v>
      </c>
      <c r="B7" s="83">
        <v>2010</v>
      </c>
      <c r="C7" s="83">
        <v>2011</v>
      </c>
      <c r="D7" s="83">
        <v>2012</v>
      </c>
      <c r="E7" s="84">
        <v>2013</v>
      </c>
      <c r="F7" s="109">
        <v>2014</v>
      </c>
      <c r="G7" s="83">
        <v>2015</v>
      </c>
      <c r="H7" s="83">
        <v>2016</v>
      </c>
      <c r="I7" s="83">
        <v>2017</v>
      </c>
      <c r="J7" s="83">
        <v>2018</v>
      </c>
      <c r="K7" s="83">
        <f>J7+1</f>
        <v>2019</v>
      </c>
      <c r="L7" s="83">
        <f t="shared" ref="L7:N7" si="0">K7+1</f>
        <v>2020</v>
      </c>
      <c r="M7" s="83">
        <f t="shared" si="0"/>
        <v>2021</v>
      </c>
      <c r="N7" s="83">
        <f t="shared" si="0"/>
        <v>2022</v>
      </c>
      <c r="O7" s="123"/>
    </row>
    <row r="8" spans="1:15">
      <c r="A8" s="79"/>
      <c r="B8" s="79"/>
      <c r="C8" s="79"/>
      <c r="D8" s="79"/>
      <c r="E8" s="86"/>
      <c r="F8" s="108"/>
      <c r="G8" s="79"/>
      <c r="H8" s="79"/>
      <c r="I8" s="79"/>
      <c r="J8" s="79"/>
      <c r="K8" s="79"/>
      <c r="L8" s="79"/>
      <c r="M8" s="79"/>
      <c r="N8" s="79"/>
    </row>
    <row r="9" spans="1:15">
      <c r="A9" s="79" t="s">
        <v>3</v>
      </c>
      <c r="B9" s="87">
        <v>128462</v>
      </c>
      <c r="C9" s="87">
        <v>135496</v>
      </c>
      <c r="D9" s="87">
        <v>142528</v>
      </c>
      <c r="E9" s="88">
        <f>142528*1.048</f>
        <v>149369.34400000001</v>
      </c>
      <c r="F9" s="110">
        <f>E9*1.024+'UFCF - Sterling'!F9*0.2</f>
        <v>183545.04990720001</v>
      </c>
      <c r="G9" s="87">
        <f>F9*1.024+'UFCF - Sterling'!G9*0.3</f>
        <v>234937.66388121602</v>
      </c>
      <c r="H9" s="87">
        <f>G9*1.024+'UFCF - Sterling'!G9*0.4</f>
        <v>303226.2115160228</v>
      </c>
      <c r="I9" s="87">
        <f>H9*1.024+'UFCF - Sterling'!H9*0.4</f>
        <v>374657.28534290474</v>
      </c>
      <c r="J9" s="87">
        <f>I9*1.024+'UFCF - Sterling'!I9*0.4</f>
        <v>449342.39241564379</v>
      </c>
      <c r="K9" s="87">
        <f>J9*1.024+'UFCF - Sterling'!J9*0.4</f>
        <v>527359.62953214056</v>
      </c>
      <c r="L9" s="87">
        <f>K9*1.024+'UFCF - Sterling'!K9*0.4</f>
        <v>608825.0542386173</v>
      </c>
      <c r="M9" s="87">
        <f>L9*1.024+'UFCF - Sterling'!L9*0.4</f>
        <v>693858.35523799574</v>
      </c>
      <c r="N9" s="87">
        <f>M9*1.024+'UFCF - Sterling'!M9*0.4</f>
        <v>782582.95936052292</v>
      </c>
      <c r="O9" s="124"/>
    </row>
    <row r="10" spans="1:15">
      <c r="A10" s="79"/>
      <c r="B10" s="87"/>
      <c r="C10" s="87"/>
      <c r="D10" s="87"/>
      <c r="E10" s="88"/>
      <c r="F10" s="110"/>
      <c r="G10" s="87"/>
      <c r="H10" s="87"/>
      <c r="I10" s="90"/>
      <c r="J10" s="79"/>
      <c r="K10" s="79"/>
      <c r="L10" s="79"/>
      <c r="M10" s="79"/>
      <c r="N10" s="79"/>
      <c r="O10" s="124"/>
    </row>
    <row r="11" spans="1:15">
      <c r="A11" s="79" t="s">
        <v>101</v>
      </c>
      <c r="B11" s="87">
        <f>B9*0.5558</f>
        <v>71399.179599999989</v>
      </c>
      <c r="C11" s="87">
        <f>C9*0.5573</f>
        <v>75511.920800000007</v>
      </c>
      <c r="D11" s="87">
        <f>D9*0.5559</f>
        <v>79231.315199999997</v>
      </c>
      <c r="E11" s="88">
        <f>E9*0.556</f>
        <v>83049.355264000013</v>
      </c>
      <c r="F11" s="110">
        <f>F9*0.555</f>
        <v>101867.50269849601</v>
      </c>
      <c r="G11" s="87">
        <f>G9*0.555</f>
        <v>130390.4034540749</v>
      </c>
      <c r="H11" s="87">
        <f>H9*0.555</f>
        <v>168290.54739139267</v>
      </c>
      <c r="I11" s="87">
        <f>I9*0.555</f>
        <v>207934.79336531216</v>
      </c>
      <c r="J11" s="87">
        <f t="shared" ref="J11:N11" si="1">J9*0.555</f>
        <v>249385.02779068233</v>
      </c>
      <c r="K11" s="87">
        <f t="shared" si="1"/>
        <v>292684.59439033805</v>
      </c>
      <c r="L11" s="87">
        <f t="shared" si="1"/>
        <v>337897.90510243265</v>
      </c>
      <c r="M11" s="87">
        <f t="shared" si="1"/>
        <v>385091.38715708768</v>
      </c>
      <c r="N11" s="87">
        <f t="shared" si="1"/>
        <v>434333.54244509025</v>
      </c>
      <c r="O11" s="124"/>
    </row>
    <row r="12" spans="1:15">
      <c r="A12" s="79" t="s">
        <v>102</v>
      </c>
      <c r="B12" s="87">
        <f>B9*0.2124</f>
        <v>27285.328799999999</v>
      </c>
      <c r="C12" s="87">
        <f>C9*0.2119</f>
        <v>28711.6024</v>
      </c>
      <c r="D12" s="87">
        <f>D9*0.2126</f>
        <v>30301.452800000003</v>
      </c>
      <c r="E12" s="88">
        <f>E9*0.212</f>
        <v>31666.300928000001</v>
      </c>
      <c r="F12" s="110">
        <f>F9*0.21</f>
        <v>38544.460480512003</v>
      </c>
      <c r="G12" s="87">
        <f>G9*0.21</f>
        <v>49336.909415055365</v>
      </c>
      <c r="H12" s="87">
        <f>H9*0.21</f>
        <v>63677.504418364784</v>
      </c>
      <c r="I12" s="87">
        <f>I9*0.21</f>
        <v>78678.029922009999</v>
      </c>
      <c r="J12" s="87">
        <f t="shared" ref="J12:N12" si="2">J9*0.21</f>
        <v>94361.90240728519</v>
      </c>
      <c r="K12" s="87">
        <f t="shared" si="2"/>
        <v>110745.52220174951</v>
      </c>
      <c r="L12" s="87">
        <f t="shared" si="2"/>
        <v>127853.26139010963</v>
      </c>
      <c r="M12" s="87">
        <f t="shared" si="2"/>
        <v>145710.25459997909</v>
      </c>
      <c r="N12" s="87">
        <f t="shared" si="2"/>
        <v>164342.42146570981</v>
      </c>
      <c r="O12" s="124"/>
    </row>
    <row r="13" spans="1:15">
      <c r="A13" s="79" t="s">
        <v>7</v>
      </c>
      <c r="B13" s="87">
        <f>B9*0.0258</f>
        <v>3314.3195999999998</v>
      </c>
      <c r="C13" s="87">
        <f>C9*0.0267</f>
        <v>3617.7432000000003</v>
      </c>
      <c r="D13" s="87">
        <f>D9*0.0253</f>
        <v>3605.9584</v>
      </c>
      <c r="E13" s="88">
        <f>'UFCF - Sterling'!E13</f>
        <v>3734.2336000000005</v>
      </c>
      <c r="F13" s="110">
        <f>'UFCF - Sterling'!F13</f>
        <v>3823.8552064000005</v>
      </c>
      <c r="G13" s="87">
        <f>'UFCF - Sterling'!G13</f>
        <v>3915.6277313536007</v>
      </c>
      <c r="H13" s="87">
        <f>'UFCF - Sterling'!H13</f>
        <v>4009.602796906087</v>
      </c>
      <c r="I13" s="87">
        <f>'UFCF - Sterling'!I13</f>
        <v>4105.8332640318331</v>
      </c>
      <c r="J13" s="87">
        <f>'UFCF - Sterling'!J13</f>
        <v>4202.0637311575792</v>
      </c>
      <c r="K13" s="87">
        <f>'UFCF - Sterling'!K13</f>
        <v>4300.5495998565848</v>
      </c>
      <c r="L13" s="87">
        <f>'UFCF - Sterling'!L13</f>
        <v>4401.3437311032239</v>
      </c>
      <c r="M13" s="87">
        <f>'UFCF - Sterling'!M13</f>
        <v>4504.500224800955</v>
      </c>
      <c r="N13" s="87">
        <f>'UFCF - Sterling'!N13</f>
        <v>4610.0744488197279</v>
      </c>
      <c r="O13" s="124"/>
    </row>
    <row r="14" spans="1:15">
      <c r="A14" s="79" t="s">
        <v>103</v>
      </c>
      <c r="B14" s="91">
        <v>2216</v>
      </c>
      <c r="C14" s="91">
        <v>2329</v>
      </c>
      <c r="D14" s="91">
        <v>2438</v>
      </c>
      <c r="E14" s="92">
        <f>E27-D27</f>
        <v>2525</v>
      </c>
      <c r="F14" s="112">
        <f t="shared" ref="F14:N14" si="3">F27-E27</f>
        <v>5600</v>
      </c>
      <c r="G14" s="91">
        <f t="shared" si="3"/>
        <v>2675</v>
      </c>
      <c r="H14" s="91">
        <f t="shared" si="3"/>
        <v>2750</v>
      </c>
      <c r="I14" s="91">
        <f t="shared" si="3"/>
        <v>2825</v>
      </c>
      <c r="J14" s="91">
        <f t="shared" si="3"/>
        <v>2900</v>
      </c>
      <c r="K14" s="91">
        <f t="shared" si="3"/>
        <v>2975</v>
      </c>
      <c r="L14" s="91">
        <f t="shared" si="3"/>
        <v>3050</v>
      </c>
      <c r="M14" s="91">
        <f t="shared" si="3"/>
        <v>3125</v>
      </c>
      <c r="N14" s="91">
        <f t="shared" si="3"/>
        <v>3200</v>
      </c>
      <c r="O14" s="124"/>
    </row>
    <row r="15" spans="1:15">
      <c r="A15" s="94" t="s">
        <v>104</v>
      </c>
      <c r="B15" s="87">
        <f t="shared" ref="B15:N15" si="4">SUM(B11:B14)</f>
        <v>104214.82799999999</v>
      </c>
      <c r="C15" s="87">
        <f t="shared" si="4"/>
        <v>110170.26640000001</v>
      </c>
      <c r="D15" s="87">
        <f t="shared" si="4"/>
        <v>115576.7264</v>
      </c>
      <c r="E15" s="88">
        <f t="shared" si="4"/>
        <v>120974.88979200002</v>
      </c>
      <c r="F15" s="110">
        <f t="shared" si="4"/>
        <v>149835.81838540803</v>
      </c>
      <c r="G15" s="87">
        <f t="shared" si="4"/>
        <v>186317.94060048385</v>
      </c>
      <c r="H15" s="87">
        <f t="shared" si="4"/>
        <v>238727.65460666353</v>
      </c>
      <c r="I15" s="87">
        <f t="shared" si="4"/>
        <v>293543.65655135404</v>
      </c>
      <c r="J15" s="87">
        <f t="shared" si="4"/>
        <v>350848.99392912508</v>
      </c>
      <c r="K15" s="87">
        <f t="shared" si="4"/>
        <v>410705.66619194415</v>
      </c>
      <c r="L15" s="87">
        <f t="shared" si="4"/>
        <v>473202.51022364548</v>
      </c>
      <c r="M15" s="87">
        <f t="shared" si="4"/>
        <v>538431.14198186784</v>
      </c>
      <c r="N15" s="87">
        <f t="shared" si="4"/>
        <v>606486.03835961979</v>
      </c>
      <c r="O15" s="124"/>
    </row>
    <row r="16" spans="1:15">
      <c r="A16" s="79"/>
      <c r="B16" s="87"/>
      <c r="C16" s="87"/>
      <c r="D16" s="87"/>
      <c r="E16" s="88"/>
      <c r="F16" s="110"/>
      <c r="G16" s="87"/>
      <c r="H16" s="87"/>
      <c r="I16" s="87"/>
      <c r="J16" s="79"/>
      <c r="K16" s="79"/>
      <c r="L16" s="79"/>
      <c r="M16" s="79"/>
      <c r="N16" s="79"/>
      <c r="O16" s="124"/>
    </row>
    <row r="17" spans="1:15">
      <c r="A17" s="79" t="s">
        <v>105</v>
      </c>
      <c r="B17" s="87">
        <f t="shared" ref="B17:N17" si="5">B9-B15</f>
        <v>24247.172000000006</v>
      </c>
      <c r="C17" s="87">
        <f t="shared" si="5"/>
        <v>25325.733599999992</v>
      </c>
      <c r="D17" s="87">
        <f t="shared" si="5"/>
        <v>26951.2736</v>
      </c>
      <c r="E17" s="88">
        <f t="shared" si="5"/>
        <v>28394.454207999996</v>
      </c>
      <c r="F17" s="110">
        <f t="shared" si="5"/>
        <v>33709.231521791982</v>
      </c>
      <c r="G17" s="87">
        <f t="shared" si="5"/>
        <v>48619.723280732171</v>
      </c>
      <c r="H17" s="87">
        <f t="shared" si="5"/>
        <v>64498.556909359264</v>
      </c>
      <c r="I17" s="87">
        <f t="shared" si="5"/>
        <v>81113.628791550698</v>
      </c>
      <c r="J17" s="87">
        <f t="shared" si="5"/>
        <v>98493.398486518709</v>
      </c>
      <c r="K17" s="87">
        <f t="shared" si="5"/>
        <v>116653.96334019641</v>
      </c>
      <c r="L17" s="87">
        <f t="shared" si="5"/>
        <v>135622.54401497182</v>
      </c>
      <c r="M17" s="87">
        <f t="shared" si="5"/>
        <v>155427.2132561279</v>
      </c>
      <c r="N17" s="87">
        <f t="shared" si="5"/>
        <v>176096.92100090312</v>
      </c>
      <c r="O17" s="124"/>
    </row>
    <row r="18" spans="1:15">
      <c r="A18" s="79"/>
      <c r="B18" s="87"/>
      <c r="C18" s="87"/>
      <c r="D18" s="87"/>
      <c r="E18" s="88"/>
      <c r="F18" s="110"/>
      <c r="G18" s="87"/>
      <c r="H18" s="87"/>
      <c r="I18" s="87"/>
      <c r="J18" s="79"/>
      <c r="K18" s="79"/>
      <c r="L18" s="79"/>
      <c r="M18" s="79"/>
      <c r="N18" s="79"/>
      <c r="O18" s="124"/>
    </row>
    <row r="19" spans="1:15">
      <c r="A19" s="78" t="s">
        <v>106</v>
      </c>
      <c r="B19" s="79"/>
      <c r="C19" s="79"/>
      <c r="D19" s="79"/>
      <c r="E19" s="86"/>
      <c r="F19" s="108"/>
      <c r="G19" s="79"/>
      <c r="H19" s="79"/>
      <c r="I19" s="79"/>
      <c r="J19" s="79"/>
      <c r="K19" s="79"/>
      <c r="L19" s="79"/>
      <c r="M19" s="79"/>
      <c r="N19" s="79"/>
      <c r="O19" s="124"/>
    </row>
    <row r="20" spans="1:15">
      <c r="A20" s="82" t="s">
        <v>99</v>
      </c>
      <c r="B20" s="83">
        <v>2010</v>
      </c>
      <c r="C20" s="83">
        <v>2011</v>
      </c>
      <c r="D20" s="83">
        <v>2012</v>
      </c>
      <c r="E20" s="84">
        <v>2013</v>
      </c>
      <c r="F20" s="109">
        <v>2014</v>
      </c>
      <c r="G20" s="83">
        <v>2015</v>
      </c>
      <c r="H20" s="83">
        <v>2016</v>
      </c>
      <c r="I20" s="83">
        <v>2017</v>
      </c>
      <c r="J20" s="83">
        <v>2018</v>
      </c>
      <c r="K20" s="83">
        <v>2019</v>
      </c>
      <c r="L20" s="83">
        <v>2020</v>
      </c>
      <c r="M20" s="83">
        <v>2021</v>
      </c>
      <c r="N20" s="83">
        <v>2022</v>
      </c>
      <c r="O20" s="124"/>
    </row>
    <row r="21" spans="1:15">
      <c r="A21" s="79" t="s">
        <v>107</v>
      </c>
      <c r="B21" s="79"/>
      <c r="C21" s="79"/>
      <c r="D21" s="79"/>
      <c r="E21" s="86"/>
      <c r="F21" s="108"/>
      <c r="G21" s="79"/>
      <c r="H21" s="79"/>
      <c r="I21" s="79"/>
      <c r="J21" s="79"/>
      <c r="K21" s="79"/>
      <c r="L21" s="79"/>
      <c r="M21" s="79"/>
      <c r="N21" s="79"/>
      <c r="O21" s="124"/>
    </row>
    <row r="22" spans="1:15">
      <c r="A22" s="94" t="s">
        <v>108</v>
      </c>
      <c r="B22" s="87">
        <f>B9/7.77</f>
        <v>16533.075933075936</v>
      </c>
      <c r="C22" s="87">
        <f>C9/7.87</f>
        <v>17216.772554002542</v>
      </c>
      <c r="D22" s="87">
        <f>D9/8.064</f>
        <v>17674.603174603173</v>
      </c>
      <c r="E22" s="88">
        <f t="shared" ref="E22:N22" si="6">E9*0.124</f>
        <v>18521.798656000003</v>
      </c>
      <c r="F22" s="110">
        <f t="shared" si="6"/>
        <v>22759.586188492802</v>
      </c>
      <c r="G22" s="87">
        <f t="shared" si="6"/>
        <v>29132.270321270786</v>
      </c>
      <c r="H22" s="87">
        <f t="shared" si="6"/>
        <v>37600.050227986823</v>
      </c>
      <c r="I22" s="87">
        <f t="shared" si="6"/>
        <v>46457.50338252019</v>
      </c>
      <c r="J22" s="87">
        <f t="shared" si="6"/>
        <v>55718.456659539828</v>
      </c>
      <c r="K22" s="87">
        <f t="shared" si="6"/>
        <v>65392.59406198543</v>
      </c>
      <c r="L22" s="87">
        <f t="shared" si="6"/>
        <v>75494.30672558854</v>
      </c>
      <c r="M22" s="87">
        <f t="shared" si="6"/>
        <v>86038.436049511467</v>
      </c>
      <c r="N22" s="87">
        <f t="shared" si="6"/>
        <v>97040.286960704834</v>
      </c>
      <c r="O22" s="124"/>
    </row>
    <row r="23" spans="1:15">
      <c r="A23" s="94" t="s">
        <v>109</v>
      </c>
      <c r="B23" s="87">
        <f>B9/6.1</f>
        <v>21059.344262295082</v>
      </c>
      <c r="C23" s="87">
        <f>C9/5.95</f>
        <v>22772.436974789915</v>
      </c>
      <c r="D23" s="87">
        <f>D9/5.988</f>
        <v>23802.271209084836</v>
      </c>
      <c r="E23" s="88">
        <f t="shared" ref="E23:N23" si="7">E9*0.167</f>
        <v>24944.680448000003</v>
      </c>
      <c r="F23" s="110">
        <f t="shared" si="7"/>
        <v>30652.023334502403</v>
      </c>
      <c r="G23" s="87">
        <f t="shared" si="7"/>
        <v>39234.589868163079</v>
      </c>
      <c r="H23" s="87">
        <f t="shared" si="7"/>
        <v>50638.777323175811</v>
      </c>
      <c r="I23" s="87">
        <f t="shared" si="7"/>
        <v>62567.766652265098</v>
      </c>
      <c r="J23" s="87">
        <f t="shared" si="7"/>
        <v>75040.17953341252</v>
      </c>
      <c r="K23" s="87">
        <f t="shared" si="7"/>
        <v>88069.058131867481</v>
      </c>
      <c r="L23" s="87">
        <f t="shared" si="7"/>
        <v>101673.7840578491</v>
      </c>
      <c r="M23" s="87">
        <f t="shared" si="7"/>
        <v>115874.3453247453</v>
      </c>
      <c r="N23" s="87">
        <f t="shared" si="7"/>
        <v>130691.35421320733</v>
      </c>
      <c r="O23" s="124"/>
    </row>
    <row r="24" spans="1:15">
      <c r="A24" s="94" t="s">
        <v>134</v>
      </c>
      <c r="B24" s="87">
        <v>43840</v>
      </c>
      <c r="C24" s="87">
        <v>46172</v>
      </c>
      <c r="D24" s="87">
        <v>48454</v>
      </c>
      <c r="E24" s="88">
        <v>50192</v>
      </c>
      <c r="F24" s="110">
        <f>SUM(E24:E25)+1500</f>
        <v>111692</v>
      </c>
      <c r="G24" s="87">
        <f t="shared" ref="G24:N24" si="8">SUM(F24:F25)+1500</f>
        <v>113792</v>
      </c>
      <c r="H24" s="87">
        <f t="shared" si="8"/>
        <v>115892</v>
      </c>
      <c r="I24" s="87">
        <f t="shared" si="8"/>
        <v>117992</v>
      </c>
      <c r="J24" s="87">
        <f t="shared" si="8"/>
        <v>120092</v>
      </c>
      <c r="K24" s="87">
        <f t="shared" si="8"/>
        <v>122192</v>
      </c>
      <c r="L24" s="87">
        <f t="shared" si="8"/>
        <v>124292</v>
      </c>
      <c r="M24" s="87">
        <f t="shared" si="8"/>
        <v>126392</v>
      </c>
      <c r="N24" s="87">
        <f t="shared" si="8"/>
        <v>128492</v>
      </c>
      <c r="O24" s="124"/>
    </row>
    <row r="25" spans="1:15">
      <c r="A25" s="94" t="s">
        <v>135</v>
      </c>
      <c r="B25" s="87"/>
      <c r="C25" s="87"/>
      <c r="D25" s="87"/>
      <c r="E25" s="88">
        <v>60000</v>
      </c>
      <c r="F25" s="110">
        <v>600</v>
      </c>
      <c r="G25" s="87">
        <f>F25</f>
        <v>600</v>
      </c>
      <c r="H25" s="87">
        <f t="shared" ref="H25:N25" si="9">G25</f>
        <v>600</v>
      </c>
      <c r="I25" s="87">
        <f t="shared" si="9"/>
        <v>600</v>
      </c>
      <c r="J25" s="87">
        <f t="shared" si="9"/>
        <v>600</v>
      </c>
      <c r="K25" s="87">
        <f t="shared" si="9"/>
        <v>600</v>
      </c>
      <c r="L25" s="87">
        <f t="shared" si="9"/>
        <v>600</v>
      </c>
      <c r="M25" s="87">
        <f t="shared" si="9"/>
        <v>600</v>
      </c>
      <c r="N25" s="87">
        <f t="shared" si="9"/>
        <v>600</v>
      </c>
      <c r="O25" s="124"/>
    </row>
    <row r="26" spans="1:15">
      <c r="A26" s="94" t="s">
        <v>136</v>
      </c>
      <c r="B26" s="87"/>
      <c r="C26" s="87"/>
      <c r="D26" s="87"/>
      <c r="E26" s="88">
        <v>0</v>
      </c>
      <c r="F26" s="110">
        <f>E25/20</f>
        <v>3000</v>
      </c>
      <c r="G26" s="87">
        <f>F26</f>
        <v>3000</v>
      </c>
      <c r="H26" s="87">
        <f>G26</f>
        <v>3000</v>
      </c>
      <c r="I26" s="87">
        <f t="shared" ref="I26:N26" si="10">H26</f>
        <v>3000</v>
      </c>
      <c r="J26" s="87">
        <f t="shared" si="10"/>
        <v>3000</v>
      </c>
      <c r="K26" s="87">
        <f t="shared" si="10"/>
        <v>3000</v>
      </c>
      <c r="L26" s="87">
        <f t="shared" si="10"/>
        <v>3000</v>
      </c>
      <c r="M26" s="87">
        <f t="shared" si="10"/>
        <v>3000</v>
      </c>
      <c r="N26" s="87">
        <f t="shared" si="10"/>
        <v>3000</v>
      </c>
      <c r="O26" s="124"/>
    </row>
    <row r="27" spans="1:15">
      <c r="A27" s="94" t="s">
        <v>111</v>
      </c>
      <c r="B27" s="87">
        <v>16366</v>
      </c>
      <c r="C27" s="87">
        <v>18695</v>
      </c>
      <c r="D27" s="87">
        <v>21133</v>
      </c>
      <c r="E27" s="88">
        <f>'UFCF - Sterling'!E26+'UFCF - Sterling w Synergies'!E26</f>
        <v>23658</v>
      </c>
      <c r="F27" s="110">
        <f>'UFCF - Sterling'!F26+'UFCF - Sterling w Synergies'!F26</f>
        <v>29258</v>
      </c>
      <c r="G27" s="87">
        <f>'UFCF - Sterling'!G26+'UFCF - Sterling w Synergies'!G26</f>
        <v>31933</v>
      </c>
      <c r="H27" s="87">
        <f>'UFCF - Sterling'!H26+'UFCF - Sterling w Synergies'!H26</f>
        <v>34683</v>
      </c>
      <c r="I27" s="87">
        <f>'UFCF - Sterling'!I26+'UFCF - Sterling w Synergies'!I26</f>
        <v>37508</v>
      </c>
      <c r="J27" s="87">
        <f>'UFCF - Sterling'!J26+'UFCF - Sterling w Synergies'!J26</f>
        <v>40408</v>
      </c>
      <c r="K27" s="87">
        <f>'UFCF - Sterling'!K26+'UFCF - Sterling w Synergies'!K26</f>
        <v>43383</v>
      </c>
      <c r="L27" s="87">
        <f>'UFCF - Sterling'!L26+'UFCF - Sterling w Synergies'!L26</f>
        <v>46433</v>
      </c>
      <c r="M27" s="87">
        <f>'UFCF - Sterling'!M26+'UFCF - Sterling w Synergies'!M26</f>
        <v>49558</v>
      </c>
      <c r="N27" s="87">
        <f>'UFCF - Sterling'!N26+'UFCF - Sterling w Synergies'!N26</f>
        <v>52758</v>
      </c>
      <c r="O27" s="124"/>
    </row>
    <row r="28" spans="1:15">
      <c r="A28" s="94" t="s">
        <v>27</v>
      </c>
      <c r="B28" s="91">
        <f t="shared" ref="B28:D28" si="11">B24-B27</f>
        <v>27474</v>
      </c>
      <c r="C28" s="91">
        <f t="shared" si="11"/>
        <v>27477</v>
      </c>
      <c r="D28" s="91">
        <f t="shared" si="11"/>
        <v>27321</v>
      </c>
      <c r="E28" s="92">
        <f>SUM(E24:E25)-E27</f>
        <v>86534</v>
      </c>
      <c r="F28" s="112">
        <f>SUM(F24:F25)-F27</f>
        <v>83034</v>
      </c>
      <c r="G28" s="91">
        <f t="shared" ref="G28:N28" si="12">SUM(G24:G25)-G27</f>
        <v>82459</v>
      </c>
      <c r="H28" s="91">
        <f t="shared" si="12"/>
        <v>81809</v>
      </c>
      <c r="I28" s="91">
        <f t="shared" si="12"/>
        <v>81084</v>
      </c>
      <c r="J28" s="91">
        <f t="shared" si="12"/>
        <v>80284</v>
      </c>
      <c r="K28" s="91">
        <f t="shared" si="12"/>
        <v>79409</v>
      </c>
      <c r="L28" s="91">
        <f t="shared" si="12"/>
        <v>78459</v>
      </c>
      <c r="M28" s="91">
        <f t="shared" si="12"/>
        <v>77434</v>
      </c>
      <c r="N28" s="91">
        <f t="shared" si="12"/>
        <v>76334</v>
      </c>
      <c r="O28" s="124"/>
    </row>
    <row r="29" spans="1:15">
      <c r="A29" s="94" t="s">
        <v>112</v>
      </c>
      <c r="B29" s="87">
        <f t="shared" ref="B29:H29" si="13">B22+B23+B28</f>
        <v>65066.420195371014</v>
      </c>
      <c r="C29" s="87">
        <f t="shared" si="13"/>
        <v>67466.20952879246</v>
      </c>
      <c r="D29" s="87">
        <f t="shared" si="13"/>
        <v>68797.874383688002</v>
      </c>
      <c r="E29" s="88">
        <f t="shared" si="13"/>
        <v>130000.479104</v>
      </c>
      <c r="F29" s="110">
        <f t="shared" si="13"/>
        <v>136445.60952299519</v>
      </c>
      <c r="G29" s="87">
        <f t="shared" si="13"/>
        <v>150825.86018943385</v>
      </c>
      <c r="H29" s="87">
        <f t="shared" si="13"/>
        <v>170047.82755116263</v>
      </c>
      <c r="I29" s="87">
        <f>I22+I23+I28</f>
        <v>190109.2700347853</v>
      </c>
      <c r="J29" s="87">
        <f t="shared" ref="J29:N29" si="14">J22+J23+J28</f>
        <v>211042.63619295234</v>
      </c>
      <c r="K29" s="87">
        <f t="shared" si="14"/>
        <v>232870.6521938529</v>
      </c>
      <c r="L29" s="87">
        <f t="shared" si="14"/>
        <v>255627.09078343766</v>
      </c>
      <c r="M29" s="87">
        <f t="shared" si="14"/>
        <v>279346.78137425677</v>
      </c>
      <c r="N29" s="87">
        <f t="shared" si="14"/>
        <v>304065.64117391215</v>
      </c>
      <c r="O29" s="124"/>
    </row>
    <row r="30" spans="1:15">
      <c r="A30" s="79"/>
      <c r="B30" s="87"/>
      <c r="C30" s="87"/>
      <c r="D30" s="87"/>
      <c r="E30" s="88"/>
      <c r="F30" s="110"/>
      <c r="G30" s="87"/>
      <c r="H30" s="87"/>
      <c r="I30" s="87"/>
      <c r="J30" s="79"/>
      <c r="K30" s="79"/>
      <c r="L30" s="79"/>
      <c r="M30" s="79"/>
      <c r="N30" s="79"/>
      <c r="O30" s="124"/>
    </row>
    <row r="31" spans="1:15">
      <c r="A31" s="79" t="s">
        <v>113</v>
      </c>
      <c r="B31" s="87"/>
      <c r="C31" s="87"/>
      <c r="D31" s="87"/>
      <c r="E31" s="88"/>
      <c r="F31" s="110"/>
      <c r="G31" s="87"/>
      <c r="H31" s="87"/>
      <c r="I31" s="87"/>
      <c r="J31" s="79"/>
      <c r="K31" s="79"/>
      <c r="L31" s="79"/>
      <c r="M31" s="79"/>
      <c r="N31" s="79"/>
      <c r="O31" s="124"/>
    </row>
    <row r="32" spans="1:15">
      <c r="A32" s="119" t="s">
        <v>114</v>
      </c>
      <c r="B32" s="91">
        <f>B9/12.15</f>
        <v>10573.004115226337</v>
      </c>
      <c r="C32" s="91">
        <f>C9/12.16</f>
        <v>11142.763157894737</v>
      </c>
      <c r="D32" s="91">
        <f>D9/12.193</f>
        <v>11689.329943410154</v>
      </c>
      <c r="E32" s="92">
        <f t="shared" ref="E32:N32" si="15">E9*0.082</f>
        <v>12248.286208000001</v>
      </c>
      <c r="F32" s="112">
        <f t="shared" si="15"/>
        <v>15050.694092390402</v>
      </c>
      <c r="G32" s="91">
        <f t="shared" si="15"/>
        <v>19264.888438259713</v>
      </c>
      <c r="H32" s="91">
        <f t="shared" si="15"/>
        <v>24864.549344313869</v>
      </c>
      <c r="I32" s="91">
        <f t="shared" si="15"/>
        <v>30721.897398118192</v>
      </c>
      <c r="J32" s="91">
        <f t="shared" si="15"/>
        <v>36846.076178082789</v>
      </c>
      <c r="K32" s="91">
        <f t="shared" si="15"/>
        <v>43243.489621635526</v>
      </c>
      <c r="L32" s="91">
        <f t="shared" si="15"/>
        <v>49923.654447566623</v>
      </c>
      <c r="M32" s="91">
        <f t="shared" si="15"/>
        <v>56896.385129515656</v>
      </c>
      <c r="N32" s="91">
        <f t="shared" si="15"/>
        <v>64171.802667562879</v>
      </c>
      <c r="O32" s="124"/>
    </row>
    <row r="33" spans="1:15">
      <c r="A33" s="85" t="s">
        <v>115</v>
      </c>
      <c r="B33" s="115">
        <f t="shared" ref="B33:N33" si="16">B29-B32</f>
        <v>54493.416080144678</v>
      </c>
      <c r="C33" s="115">
        <f t="shared" si="16"/>
        <v>56323.446370897727</v>
      </c>
      <c r="D33" s="115">
        <f t="shared" si="16"/>
        <v>57108.544440277852</v>
      </c>
      <c r="E33" s="115">
        <f t="shared" si="16"/>
        <v>117752.19289599999</v>
      </c>
      <c r="F33" s="115">
        <f t="shared" si="16"/>
        <v>121394.91543060479</v>
      </c>
      <c r="G33" s="115">
        <f t="shared" si="16"/>
        <v>131560.97175117413</v>
      </c>
      <c r="H33" s="115">
        <f t="shared" si="16"/>
        <v>145183.27820684877</v>
      </c>
      <c r="I33" s="115">
        <f t="shared" si="16"/>
        <v>159387.3726366671</v>
      </c>
      <c r="J33" s="115">
        <f t="shared" si="16"/>
        <v>174196.56001486955</v>
      </c>
      <c r="K33" s="115">
        <f t="shared" si="16"/>
        <v>189627.16257221738</v>
      </c>
      <c r="L33" s="115">
        <f t="shared" si="16"/>
        <v>205703.43633587103</v>
      </c>
      <c r="M33" s="115">
        <f t="shared" si="16"/>
        <v>222450.3962447411</v>
      </c>
      <c r="N33" s="115">
        <f t="shared" si="16"/>
        <v>239893.83850634928</v>
      </c>
      <c r="O33" s="124"/>
    </row>
    <row r="34" spans="1:15">
      <c r="E34" s="102"/>
      <c r="F34" s="102"/>
      <c r="G34" s="102"/>
      <c r="O34" s="124"/>
    </row>
    <row r="35" spans="1:15">
      <c r="A35" s="79"/>
      <c r="B35" s="87"/>
      <c r="C35" s="87"/>
      <c r="D35" s="87"/>
      <c r="E35" s="87"/>
      <c r="F35" s="87"/>
      <c r="G35" s="87"/>
      <c r="H35" s="87"/>
      <c r="I35" s="87"/>
      <c r="J35" s="79"/>
      <c r="K35" s="79"/>
      <c r="L35" s="79"/>
      <c r="M35" s="79"/>
      <c r="N35" s="79"/>
      <c r="O35" s="124"/>
    </row>
    <row r="36" spans="1:15">
      <c r="A36" s="95" t="s">
        <v>116</v>
      </c>
      <c r="B36" s="83">
        <v>2010</v>
      </c>
      <c r="C36" s="83">
        <v>2011</v>
      </c>
      <c r="D36" s="83">
        <v>2012</v>
      </c>
      <c r="E36" s="84">
        <v>2013</v>
      </c>
      <c r="F36" s="83">
        <v>2014</v>
      </c>
      <c r="G36" s="83">
        <v>2015</v>
      </c>
      <c r="H36" s="83">
        <v>2016</v>
      </c>
      <c r="I36" s="83">
        <v>2017</v>
      </c>
      <c r="J36" s="83">
        <v>2018</v>
      </c>
      <c r="K36" s="83">
        <v>2019</v>
      </c>
      <c r="L36" s="83">
        <v>2020</v>
      </c>
      <c r="M36" s="83">
        <v>2021</v>
      </c>
      <c r="N36" s="83">
        <v>2022</v>
      </c>
      <c r="O36" s="124"/>
    </row>
    <row r="37" spans="1:15">
      <c r="A37" s="94" t="s">
        <v>117</v>
      </c>
      <c r="B37" s="96">
        <f t="shared" ref="B37:N37" si="17">B11/B9</f>
        <v>0.55579999999999996</v>
      </c>
      <c r="C37" s="96">
        <f t="shared" si="17"/>
        <v>0.55730000000000002</v>
      </c>
      <c r="D37" s="96">
        <f t="shared" si="17"/>
        <v>0.55589999999999995</v>
      </c>
      <c r="E37" s="97">
        <f t="shared" si="17"/>
        <v>0.55600000000000005</v>
      </c>
      <c r="F37" s="96">
        <f t="shared" si="17"/>
        <v>0.55500000000000005</v>
      </c>
      <c r="G37" s="96">
        <f t="shared" si="17"/>
        <v>0.55500000000000005</v>
      </c>
      <c r="H37" s="96">
        <f t="shared" si="17"/>
        <v>0.55500000000000005</v>
      </c>
      <c r="I37" s="96">
        <f t="shared" si="17"/>
        <v>0.55500000000000005</v>
      </c>
      <c r="J37" s="96">
        <f t="shared" si="17"/>
        <v>0.55500000000000005</v>
      </c>
      <c r="K37" s="96">
        <f t="shared" si="17"/>
        <v>0.55500000000000005</v>
      </c>
      <c r="L37" s="96">
        <f t="shared" si="17"/>
        <v>0.55500000000000005</v>
      </c>
      <c r="M37" s="96">
        <f t="shared" si="17"/>
        <v>0.55500000000000005</v>
      </c>
      <c r="N37" s="96">
        <f t="shared" si="17"/>
        <v>0.55500000000000005</v>
      </c>
      <c r="O37" s="124"/>
    </row>
    <row r="38" spans="1:15">
      <c r="A38" s="94" t="s">
        <v>118</v>
      </c>
      <c r="B38" s="96">
        <f t="shared" ref="B38:N38" si="18">B12/B9</f>
        <v>0.21240000000000001</v>
      </c>
      <c r="C38" s="96">
        <f t="shared" si="18"/>
        <v>0.21190000000000001</v>
      </c>
      <c r="D38" s="96">
        <f t="shared" si="18"/>
        <v>0.21260000000000001</v>
      </c>
      <c r="E38" s="97">
        <f t="shared" si="18"/>
        <v>0.21199999999999999</v>
      </c>
      <c r="F38" s="96">
        <f t="shared" si="18"/>
        <v>0.21000000000000002</v>
      </c>
      <c r="G38" s="96">
        <f t="shared" si="18"/>
        <v>0.21</v>
      </c>
      <c r="H38" s="96">
        <f t="shared" si="18"/>
        <v>0.21</v>
      </c>
      <c r="I38" s="96">
        <f t="shared" si="18"/>
        <v>0.21000000000000002</v>
      </c>
      <c r="J38" s="96">
        <f t="shared" si="18"/>
        <v>0.21</v>
      </c>
      <c r="K38" s="96">
        <f t="shared" si="18"/>
        <v>0.21</v>
      </c>
      <c r="L38" s="96">
        <f t="shared" si="18"/>
        <v>0.21</v>
      </c>
      <c r="M38" s="96">
        <f t="shared" si="18"/>
        <v>0.20999999999999996</v>
      </c>
      <c r="N38" s="96">
        <f t="shared" si="18"/>
        <v>0.21</v>
      </c>
      <c r="O38" s="124"/>
    </row>
    <row r="39" spans="1:15">
      <c r="A39" s="94" t="s">
        <v>119</v>
      </c>
      <c r="B39" s="96">
        <f t="shared" ref="B39:N39" si="19">B13/B9</f>
        <v>2.58E-2</v>
      </c>
      <c r="C39" s="96">
        <f t="shared" si="19"/>
        <v>2.6700000000000002E-2</v>
      </c>
      <c r="D39" s="96">
        <f t="shared" si="19"/>
        <v>2.53E-2</v>
      </c>
      <c r="E39" s="97">
        <f t="shared" si="19"/>
        <v>2.5000000000000001E-2</v>
      </c>
      <c r="F39" s="96">
        <f t="shared" si="19"/>
        <v>2.0833333333333336E-2</v>
      </c>
      <c r="G39" s="96">
        <f t="shared" si="19"/>
        <v>1.6666666666666666E-2</v>
      </c>
      <c r="H39" s="96">
        <f t="shared" si="19"/>
        <v>1.322314049586777E-2</v>
      </c>
      <c r="I39" s="96">
        <f t="shared" si="19"/>
        <v>1.0958904109589041E-2</v>
      </c>
      <c r="J39" s="96">
        <f t="shared" si="19"/>
        <v>9.3515853435672518E-3</v>
      </c>
      <c r="K39" s="96">
        <f t="shared" si="19"/>
        <v>8.1548707163495212E-3</v>
      </c>
      <c r="L39" s="96">
        <f t="shared" si="19"/>
        <v>7.2292421286890762E-3</v>
      </c>
      <c r="M39" s="96">
        <f t="shared" si="19"/>
        <v>6.4919593326160877E-3</v>
      </c>
      <c r="N39" s="96">
        <f t="shared" si="19"/>
        <v>5.8908444065620697E-3</v>
      </c>
      <c r="O39" s="124"/>
    </row>
    <row r="40" spans="1:15">
      <c r="A40" s="94" t="s">
        <v>120</v>
      </c>
      <c r="B40" s="96">
        <f t="shared" ref="B40:N40" si="20">B22/B9</f>
        <v>0.12870012870012873</v>
      </c>
      <c r="C40" s="96">
        <f t="shared" si="20"/>
        <v>0.12706480304955528</v>
      </c>
      <c r="D40" s="96">
        <f t="shared" si="20"/>
        <v>0.1240079365079365</v>
      </c>
      <c r="E40" s="97">
        <f t="shared" si="20"/>
        <v>0.12400000000000001</v>
      </c>
      <c r="F40" s="96">
        <f t="shared" si="20"/>
        <v>0.124</v>
      </c>
      <c r="G40" s="96">
        <f t="shared" si="20"/>
        <v>0.124</v>
      </c>
      <c r="H40" s="96">
        <f t="shared" si="20"/>
        <v>0.12399999999999999</v>
      </c>
      <c r="I40" s="96">
        <f t="shared" si="20"/>
        <v>0.12400000000000001</v>
      </c>
      <c r="J40" s="96">
        <f t="shared" si="20"/>
        <v>0.124</v>
      </c>
      <c r="K40" s="96">
        <f t="shared" si="20"/>
        <v>0.124</v>
      </c>
      <c r="L40" s="96">
        <f t="shared" si="20"/>
        <v>0.12399999999999999</v>
      </c>
      <c r="M40" s="96">
        <f t="shared" si="20"/>
        <v>0.124</v>
      </c>
      <c r="N40" s="96">
        <f t="shared" si="20"/>
        <v>0.12399999999999999</v>
      </c>
      <c r="O40" s="124"/>
    </row>
    <row r="41" spans="1:15">
      <c r="A41" s="94" t="s">
        <v>121</v>
      </c>
      <c r="B41" s="96">
        <f t="shared" ref="B41:N41" si="21">B23/B9</f>
        <v>0.16393442622950821</v>
      </c>
      <c r="C41" s="96">
        <f t="shared" si="21"/>
        <v>0.16806722689075629</v>
      </c>
      <c r="D41" s="96">
        <f t="shared" si="21"/>
        <v>0.16700066800267202</v>
      </c>
      <c r="E41" s="97">
        <f t="shared" si="21"/>
        <v>0.16700000000000001</v>
      </c>
      <c r="F41" s="96">
        <f t="shared" si="21"/>
        <v>0.16700000000000001</v>
      </c>
      <c r="G41" s="96">
        <f t="shared" si="21"/>
        <v>0.16700000000000001</v>
      </c>
      <c r="H41" s="96">
        <f t="shared" si="21"/>
        <v>0.16700000000000001</v>
      </c>
      <c r="I41" s="96">
        <f t="shared" si="21"/>
        <v>0.16700000000000001</v>
      </c>
      <c r="J41" s="96">
        <f t="shared" si="21"/>
        <v>0.16700000000000001</v>
      </c>
      <c r="K41" s="96">
        <f t="shared" si="21"/>
        <v>0.16700000000000001</v>
      </c>
      <c r="L41" s="96">
        <f t="shared" si="21"/>
        <v>0.16700000000000001</v>
      </c>
      <c r="M41" s="96">
        <f t="shared" si="21"/>
        <v>0.16700000000000001</v>
      </c>
      <c r="N41" s="96">
        <f t="shared" si="21"/>
        <v>0.16700000000000001</v>
      </c>
      <c r="O41" s="124"/>
    </row>
    <row r="42" spans="1:15">
      <c r="A42" s="94" t="s">
        <v>122</v>
      </c>
      <c r="B42" s="96">
        <f t="shared" ref="B42:N42" si="22">B28/B9</f>
        <v>0.21386869268733166</v>
      </c>
      <c r="C42" s="96">
        <f t="shared" si="22"/>
        <v>0.2027882741925961</v>
      </c>
      <c r="D42" s="96">
        <f t="shared" si="22"/>
        <v>0.19168865065110013</v>
      </c>
      <c r="E42" s="97">
        <f t="shared" si="22"/>
        <v>0.57932904893791326</v>
      </c>
      <c r="F42" s="96">
        <f t="shared" si="22"/>
        <v>0.45239029895920274</v>
      </c>
      <c r="G42" s="96">
        <f t="shared" si="22"/>
        <v>0.35098246333840749</v>
      </c>
      <c r="H42" s="96">
        <f t="shared" si="22"/>
        <v>0.26979527789165786</v>
      </c>
      <c r="I42" s="96">
        <f t="shared" si="22"/>
        <v>0.21642178911798804</v>
      </c>
      <c r="J42" s="96">
        <f t="shared" si="22"/>
        <v>0.17866998830979858</v>
      </c>
      <c r="K42" s="96">
        <f t="shared" si="22"/>
        <v>0.15057845832918526</v>
      </c>
      <c r="L42" s="96">
        <f t="shared" si="22"/>
        <v>0.12886953231272494</v>
      </c>
      <c r="M42" s="96">
        <f t="shared" si="22"/>
        <v>0.11159914615921844</v>
      </c>
      <c r="N42" s="96">
        <f t="shared" si="22"/>
        <v>9.7541096553361309E-2</v>
      </c>
      <c r="O42" s="124"/>
    </row>
    <row r="43" spans="1:15">
      <c r="A43" s="94" t="s">
        <v>114</v>
      </c>
      <c r="B43" s="96">
        <f t="shared" ref="B43:N43" si="23">B32/B9</f>
        <v>8.2304526748971193E-2</v>
      </c>
      <c r="C43" s="96">
        <f t="shared" si="23"/>
        <v>8.223684210526315E-2</v>
      </c>
      <c r="D43" s="96">
        <f t="shared" si="23"/>
        <v>8.2014270483064061E-2</v>
      </c>
      <c r="E43" s="97">
        <f t="shared" si="23"/>
        <v>8.2000000000000003E-2</v>
      </c>
      <c r="F43" s="96">
        <f t="shared" si="23"/>
        <v>8.2000000000000003E-2</v>
      </c>
      <c r="G43" s="96">
        <f t="shared" si="23"/>
        <v>8.2000000000000003E-2</v>
      </c>
      <c r="H43" s="96">
        <f t="shared" si="23"/>
        <v>8.2000000000000003E-2</v>
      </c>
      <c r="I43" s="96">
        <f t="shared" si="23"/>
        <v>8.2000000000000003E-2</v>
      </c>
      <c r="J43" s="96">
        <f t="shared" si="23"/>
        <v>8.199999999999999E-2</v>
      </c>
      <c r="K43" s="96">
        <f t="shared" si="23"/>
        <v>8.2000000000000003E-2</v>
      </c>
      <c r="L43" s="96">
        <f t="shared" si="23"/>
        <v>8.2000000000000003E-2</v>
      </c>
      <c r="M43" s="96">
        <f t="shared" si="23"/>
        <v>8.2000000000000003E-2</v>
      </c>
      <c r="N43" s="96">
        <f t="shared" si="23"/>
        <v>8.2000000000000003E-2</v>
      </c>
      <c r="O43" s="124"/>
    </row>
    <row r="44" spans="1:15">
      <c r="A44" s="79"/>
      <c r="B44" s="87"/>
      <c r="C44" s="87"/>
      <c r="D44" s="87"/>
      <c r="E44" s="80"/>
      <c r="F44" s="81"/>
      <c r="G44" s="81"/>
      <c r="H44" s="79"/>
      <c r="I44" s="79"/>
      <c r="J44" s="79"/>
      <c r="K44" s="79"/>
      <c r="L44" s="79"/>
      <c r="M44" s="79"/>
      <c r="N44" s="79"/>
    </row>
    <row r="45" spans="1:15">
      <c r="A45" s="79" t="s">
        <v>123</v>
      </c>
      <c r="B45" s="87">
        <f>(B22+B23)-(B32)</f>
        <v>27019.416080144678</v>
      </c>
      <c r="C45" s="87">
        <f t="shared" ref="C45:N45" si="24">(C22+C23)-(C32)</f>
        <v>28846.446370897724</v>
      </c>
      <c r="D45" s="87">
        <f t="shared" si="24"/>
        <v>29787.544440277856</v>
      </c>
      <c r="E45" s="88">
        <f>(E22+E23)-(E32)</f>
        <v>31218.192896000004</v>
      </c>
      <c r="F45" s="87">
        <f>(F22+F23)-(F32)</f>
        <v>38360.9154306048</v>
      </c>
      <c r="G45" s="87">
        <f t="shared" si="24"/>
        <v>49101.971751174147</v>
      </c>
      <c r="H45" s="87">
        <f t="shared" si="24"/>
        <v>63374.278206848758</v>
      </c>
      <c r="I45" s="87">
        <f t="shared" si="24"/>
        <v>78303.372636667104</v>
      </c>
      <c r="J45" s="87">
        <f t="shared" si="24"/>
        <v>93912.560014869552</v>
      </c>
      <c r="K45" s="87">
        <f t="shared" si="24"/>
        <v>110218.16257221738</v>
      </c>
      <c r="L45" s="87">
        <f t="shared" si="24"/>
        <v>127244.43633587103</v>
      </c>
      <c r="M45" s="87">
        <f t="shared" si="24"/>
        <v>145016.3962447411</v>
      </c>
      <c r="N45" s="87">
        <f t="shared" si="24"/>
        <v>163559.83850634928</v>
      </c>
    </row>
    <row r="46" spans="1:15">
      <c r="A46" s="79" t="s">
        <v>124</v>
      </c>
      <c r="B46" s="87"/>
      <c r="C46" s="87">
        <f>C45-B45</f>
        <v>1827.0302907530458</v>
      </c>
      <c r="D46" s="87">
        <f>D45-C45</f>
        <v>941.09806938013207</v>
      </c>
      <c r="E46" s="88">
        <f>E45-D45</f>
        <v>1430.6484557221484</v>
      </c>
      <c r="F46" s="87">
        <f t="shared" ref="F46:N46" si="25">F45-E45</f>
        <v>7142.7225346047962</v>
      </c>
      <c r="G46" s="87">
        <f t="shared" si="25"/>
        <v>10741.056320569347</v>
      </c>
      <c r="H46" s="87">
        <f t="shared" si="25"/>
        <v>14272.30645567461</v>
      </c>
      <c r="I46" s="87">
        <f t="shared" si="25"/>
        <v>14929.094429818346</v>
      </c>
      <c r="J46" s="87">
        <f t="shared" si="25"/>
        <v>15609.187378202449</v>
      </c>
      <c r="K46" s="87">
        <f t="shared" si="25"/>
        <v>16305.602557347825</v>
      </c>
      <c r="L46" s="87">
        <f t="shared" si="25"/>
        <v>17026.273763653648</v>
      </c>
      <c r="M46" s="87">
        <f t="shared" si="25"/>
        <v>17771.959908870078</v>
      </c>
      <c r="N46" s="87">
        <f t="shared" si="25"/>
        <v>18543.442261608172</v>
      </c>
    </row>
    <row r="47" spans="1:15">
      <c r="A47" s="79"/>
      <c r="B47" s="87"/>
      <c r="C47" s="87"/>
      <c r="D47" s="87"/>
      <c r="E47" s="88"/>
      <c r="F47" s="87"/>
      <c r="G47" s="87"/>
      <c r="H47" s="87"/>
      <c r="I47" s="87"/>
      <c r="J47" s="87"/>
      <c r="K47" s="87"/>
      <c r="L47" s="87"/>
      <c r="M47" s="87"/>
      <c r="N47" s="87"/>
    </row>
    <row r="48" spans="1:15">
      <c r="A48" s="79" t="s">
        <v>125</v>
      </c>
      <c r="B48" s="87"/>
      <c r="C48" s="87"/>
      <c r="D48" s="87"/>
      <c r="E48" s="88">
        <f>(E24+E25)-D24</f>
        <v>61738</v>
      </c>
      <c r="F48" s="87">
        <f>F24-E24</f>
        <v>61500</v>
      </c>
      <c r="G48" s="87">
        <f t="shared" ref="G48:N48" si="26">G24-F24</f>
        <v>2100</v>
      </c>
      <c r="H48" s="87">
        <f t="shared" si="26"/>
        <v>2100</v>
      </c>
      <c r="I48" s="87">
        <f t="shared" si="26"/>
        <v>2100</v>
      </c>
      <c r="J48" s="87">
        <f t="shared" si="26"/>
        <v>2100</v>
      </c>
      <c r="K48" s="87">
        <f t="shared" si="26"/>
        <v>2100</v>
      </c>
      <c r="L48" s="87">
        <f t="shared" si="26"/>
        <v>2100</v>
      </c>
      <c r="M48" s="87">
        <f t="shared" si="26"/>
        <v>2100</v>
      </c>
      <c r="N48" s="87">
        <f t="shared" si="26"/>
        <v>2100</v>
      </c>
    </row>
    <row r="49" spans="1:15">
      <c r="A49" s="79"/>
      <c r="B49" s="87"/>
      <c r="C49" s="87"/>
      <c r="D49" s="87"/>
      <c r="E49" s="80"/>
      <c r="F49" s="81"/>
      <c r="G49" s="81"/>
      <c r="H49" s="79"/>
      <c r="I49" s="79"/>
      <c r="J49" s="79"/>
      <c r="K49" s="79"/>
      <c r="L49" s="79"/>
      <c r="M49" s="79"/>
      <c r="N49" s="79"/>
    </row>
    <row r="50" spans="1:15">
      <c r="A50" s="79"/>
      <c r="B50" s="87"/>
      <c r="C50" s="87"/>
      <c r="D50" s="87"/>
      <c r="E50" s="84">
        <v>2013</v>
      </c>
      <c r="F50" s="83">
        <v>2014</v>
      </c>
      <c r="G50" s="83">
        <v>2015</v>
      </c>
      <c r="H50" s="83">
        <v>2016</v>
      </c>
      <c r="I50" s="83">
        <v>2017</v>
      </c>
      <c r="J50" s="83">
        <v>2018</v>
      </c>
      <c r="K50" s="83">
        <f>J50+1</f>
        <v>2019</v>
      </c>
      <c r="L50" s="83">
        <f t="shared" ref="L50:N50" si="27">K50+1</f>
        <v>2020</v>
      </c>
      <c r="M50" s="83">
        <f t="shared" si="27"/>
        <v>2021</v>
      </c>
      <c r="N50" s="83">
        <f t="shared" si="27"/>
        <v>2022</v>
      </c>
      <c r="O50" s="79"/>
    </row>
    <row r="51" spans="1:15">
      <c r="A51" s="79" t="s">
        <v>126</v>
      </c>
      <c r="B51" s="87"/>
      <c r="C51" s="87"/>
      <c r="D51" s="87"/>
      <c r="E51" s="88">
        <f t="shared" ref="E51:N51" si="28">E17</f>
        <v>28394.454207999996</v>
      </c>
      <c r="F51" s="87">
        <f t="shared" si="28"/>
        <v>33709.231521791982</v>
      </c>
      <c r="G51" s="87">
        <f t="shared" si="28"/>
        <v>48619.723280732171</v>
      </c>
      <c r="H51" s="87">
        <f t="shared" si="28"/>
        <v>64498.556909359264</v>
      </c>
      <c r="I51" s="87">
        <f t="shared" si="28"/>
        <v>81113.628791550698</v>
      </c>
      <c r="J51" s="87">
        <f t="shared" si="28"/>
        <v>98493.398486518709</v>
      </c>
      <c r="K51" s="87">
        <f t="shared" si="28"/>
        <v>116653.96334019641</v>
      </c>
      <c r="L51" s="87">
        <f t="shared" si="28"/>
        <v>135622.54401497182</v>
      </c>
      <c r="M51" s="87">
        <f t="shared" si="28"/>
        <v>155427.2132561279</v>
      </c>
      <c r="N51" s="87">
        <f t="shared" si="28"/>
        <v>176096.92100090312</v>
      </c>
    </row>
    <row r="52" spans="1:15">
      <c r="A52" s="79" t="s">
        <v>127</v>
      </c>
      <c r="B52" s="87"/>
      <c r="C52" s="87"/>
      <c r="D52" s="87"/>
      <c r="E52" s="88">
        <f>E48</f>
        <v>61738</v>
      </c>
      <c r="F52" s="87">
        <f t="shared" ref="F52:N52" si="29">F48</f>
        <v>61500</v>
      </c>
      <c r="G52" s="87">
        <f t="shared" si="29"/>
        <v>2100</v>
      </c>
      <c r="H52" s="87">
        <f t="shared" si="29"/>
        <v>2100</v>
      </c>
      <c r="I52" s="87">
        <f t="shared" si="29"/>
        <v>2100</v>
      </c>
      <c r="J52" s="87">
        <f t="shared" si="29"/>
        <v>2100</v>
      </c>
      <c r="K52" s="87">
        <f t="shared" si="29"/>
        <v>2100</v>
      </c>
      <c r="L52" s="87">
        <f t="shared" si="29"/>
        <v>2100</v>
      </c>
      <c r="M52" s="87">
        <f t="shared" si="29"/>
        <v>2100</v>
      </c>
      <c r="N52" s="87">
        <f t="shared" si="29"/>
        <v>2100</v>
      </c>
    </row>
    <row r="53" spans="1:15">
      <c r="A53" s="79" t="s">
        <v>128</v>
      </c>
      <c r="B53" s="87"/>
      <c r="C53" s="87"/>
      <c r="D53" s="87"/>
      <c r="E53" s="88">
        <f t="shared" ref="E53:N53" si="30">E46</f>
        <v>1430.6484557221484</v>
      </c>
      <c r="F53" s="87">
        <f t="shared" si="30"/>
        <v>7142.7225346047962</v>
      </c>
      <c r="G53" s="87">
        <f t="shared" si="30"/>
        <v>10741.056320569347</v>
      </c>
      <c r="H53" s="87">
        <f t="shared" si="30"/>
        <v>14272.30645567461</v>
      </c>
      <c r="I53" s="87">
        <f t="shared" si="30"/>
        <v>14929.094429818346</v>
      </c>
      <c r="J53" s="87">
        <f t="shared" si="30"/>
        <v>15609.187378202449</v>
      </c>
      <c r="K53" s="87">
        <f t="shared" si="30"/>
        <v>16305.602557347825</v>
      </c>
      <c r="L53" s="87">
        <f t="shared" si="30"/>
        <v>17026.273763653648</v>
      </c>
      <c r="M53" s="87">
        <f t="shared" si="30"/>
        <v>17771.959908870078</v>
      </c>
      <c r="N53" s="87">
        <f t="shared" si="30"/>
        <v>18543.442261608172</v>
      </c>
    </row>
    <row r="54" spans="1:15">
      <c r="A54" s="98" t="s">
        <v>129</v>
      </c>
      <c r="B54" s="99"/>
      <c r="C54" s="99"/>
      <c r="D54" s="99"/>
      <c r="E54" s="100">
        <f>E51-E52-E53</f>
        <v>-34774.194247722153</v>
      </c>
      <c r="F54" s="99">
        <f t="shared" ref="F54:N54" si="31">F51-F52-F53</f>
        <v>-34933.49101281281</v>
      </c>
      <c r="G54" s="99">
        <f t="shared" si="31"/>
        <v>35778.666960162824</v>
      </c>
      <c r="H54" s="99">
        <f t="shared" si="31"/>
        <v>48126.250453684654</v>
      </c>
      <c r="I54" s="99">
        <f t="shared" si="31"/>
        <v>64084.534361732352</v>
      </c>
      <c r="J54" s="99">
        <f t="shared" si="31"/>
        <v>80784.21110831626</v>
      </c>
      <c r="K54" s="99">
        <f t="shared" si="31"/>
        <v>98248.360782848584</v>
      </c>
      <c r="L54" s="99">
        <f t="shared" si="31"/>
        <v>116496.27025131817</v>
      </c>
      <c r="M54" s="99">
        <f t="shared" si="31"/>
        <v>135555.25334725782</v>
      </c>
      <c r="N54" s="99">
        <f t="shared" si="31"/>
        <v>155453.47873929495</v>
      </c>
      <c r="O54" s="125"/>
    </row>
    <row r="55" spans="1:15">
      <c r="A55" s="79" t="s">
        <v>130</v>
      </c>
      <c r="B55" s="87"/>
      <c r="C55" s="87"/>
      <c r="D55" s="87"/>
      <c r="E55" s="115">
        <f>E54/(1+WACC!$B$23)^E5</f>
        <v>-33246.899468295393</v>
      </c>
      <c r="F55" s="115">
        <f>F54/(1+WACC!$B$23)^F5</f>
        <v>-31932.295318774512</v>
      </c>
      <c r="G55" s="115">
        <f>G54/(1+WACC!$B$23)^G5</f>
        <v>31268.451832795847</v>
      </c>
      <c r="H55" s="115">
        <f>H54/(1+WACC!$B$23)^H5</f>
        <v>40212.245435596647</v>
      </c>
      <c r="I55" s="115">
        <f>I54/(1+WACC!$B$23)^I5</f>
        <v>51194.535310644504</v>
      </c>
      <c r="J55" s="115">
        <f>J54/(1+WACC!$B$23)^J5</f>
        <v>61700.819872526692</v>
      </c>
      <c r="K55" s="115">
        <f>K54/(1+WACC!$B$23)^K5</f>
        <v>71743.710521807137</v>
      </c>
      <c r="L55" s="115">
        <f>L54/(1+WACC!$B$23)^L5</f>
        <v>81332.592678144007</v>
      </c>
      <c r="M55" s="115">
        <f>M54/(1+WACC!$B$23)^M5</f>
        <v>90482.173215005314</v>
      </c>
      <c r="N55" s="115">
        <f>N54/(1+WACC!$B$23)^N5</f>
        <v>99206.742488896401</v>
      </c>
    </row>
    <row r="56" spans="1:15">
      <c r="A56" s="79"/>
      <c r="B56" s="87"/>
      <c r="C56" s="87"/>
      <c r="D56" s="87"/>
      <c r="E56" s="81"/>
      <c r="F56" s="81"/>
      <c r="G56" s="81"/>
      <c r="H56" s="79"/>
      <c r="I56" s="79"/>
      <c r="J56" s="126"/>
      <c r="K56" s="126"/>
      <c r="L56" s="126"/>
      <c r="M56" s="126"/>
      <c r="N56" s="126"/>
      <c r="O56" s="127"/>
    </row>
    <row r="57" spans="1:15">
      <c r="A57" s="79" t="s">
        <v>131</v>
      </c>
      <c r="B57" s="87">
        <f>SUM(E55:N55)</f>
        <v>461962.07656834665</v>
      </c>
      <c r="C57" s="87"/>
      <c r="D57" s="87"/>
      <c r="E57" s="81"/>
      <c r="F57" s="81"/>
      <c r="G57" s="81"/>
      <c r="H57" s="79"/>
      <c r="I57" s="79"/>
      <c r="J57" s="126"/>
      <c r="K57" s="126"/>
      <c r="L57" s="126"/>
      <c r="M57" s="126"/>
      <c r="N57" s="126"/>
      <c r="O57" s="127"/>
    </row>
    <row r="58" spans="1:15">
      <c r="A58" s="79" t="s">
        <v>132</v>
      </c>
      <c r="B58" s="101">
        <f>N54*9</f>
        <v>1399081.3086536545</v>
      </c>
      <c r="C58" s="87"/>
      <c r="D58" s="87"/>
      <c r="E58" s="81"/>
      <c r="F58" s="81"/>
      <c r="G58" s="81"/>
      <c r="H58" s="79"/>
      <c r="I58" s="79"/>
      <c r="J58" s="101"/>
      <c r="K58" s="101"/>
      <c r="L58" s="101"/>
      <c r="M58" s="101"/>
      <c r="N58" s="101"/>
      <c r="O58" s="125"/>
    </row>
    <row r="59" spans="1:15">
      <c r="A59" s="85" t="s">
        <v>133</v>
      </c>
      <c r="B59" s="115">
        <f>B58+B57</f>
        <v>1861043.3852220012</v>
      </c>
      <c r="C59" s="87"/>
      <c r="D59" s="87"/>
      <c r="E59" s="81"/>
      <c r="F59" s="81"/>
      <c r="G59" s="81"/>
      <c r="H59" s="79"/>
      <c r="I59" s="79"/>
      <c r="J59" s="79"/>
      <c r="K59" s="79"/>
      <c r="L59" s="79"/>
      <c r="M59" s="79"/>
      <c r="N59" s="79"/>
    </row>
    <row r="60" spans="1:15">
      <c r="A60" s="79"/>
      <c r="B60" s="87"/>
      <c r="C60" s="87"/>
      <c r="D60" s="87"/>
      <c r="E60" s="81"/>
      <c r="F60" s="81"/>
      <c r="G60" s="81"/>
      <c r="H60" s="79"/>
      <c r="I60" s="79"/>
      <c r="J60" s="79"/>
      <c r="K60" s="79"/>
      <c r="L60" s="79"/>
      <c r="M60" s="79"/>
      <c r="N60" s="79"/>
    </row>
    <row r="61" spans="1:15">
      <c r="A61" s="79"/>
      <c r="B61" s="87"/>
      <c r="C61" s="87"/>
      <c r="D61" s="87"/>
      <c r="E61" s="81"/>
      <c r="F61" s="81"/>
      <c r="G61" s="81"/>
      <c r="H61" s="79"/>
      <c r="I61" s="79"/>
      <c r="J61" s="79"/>
      <c r="K61" s="79"/>
      <c r="L61" s="79"/>
      <c r="M61" s="79"/>
      <c r="N61" s="79"/>
    </row>
    <row r="62" spans="1:15">
      <c r="A62" s="79"/>
      <c r="B62" s="87"/>
      <c r="C62" s="87"/>
      <c r="D62" s="87"/>
      <c r="E62" s="81"/>
      <c r="F62" s="81"/>
      <c r="G62" s="81"/>
      <c r="H62" s="79"/>
      <c r="I62" s="79"/>
      <c r="J62" s="79"/>
      <c r="K62" s="79"/>
      <c r="L62" s="79"/>
      <c r="M62" s="79"/>
      <c r="N62" s="79"/>
    </row>
    <row r="63" spans="1:15">
      <c r="A63" s="79"/>
      <c r="B63" s="87"/>
      <c r="C63" s="87"/>
      <c r="D63" s="87"/>
      <c r="E63" s="81"/>
      <c r="F63" s="81"/>
      <c r="G63" s="81"/>
      <c r="H63" s="79"/>
      <c r="I63" s="79"/>
      <c r="J63" s="79"/>
      <c r="K63" s="79"/>
      <c r="L63" s="79"/>
      <c r="M63" s="79"/>
      <c r="N63" s="79"/>
    </row>
    <row r="64" spans="1:15">
      <c r="A64" s="79"/>
      <c r="B64" s="87"/>
      <c r="C64" s="87"/>
      <c r="D64" s="87"/>
      <c r="E64" s="81"/>
      <c r="F64" s="81"/>
      <c r="G64" s="81"/>
      <c r="H64" s="79"/>
      <c r="I64" s="79"/>
      <c r="J64" s="79"/>
      <c r="K64" s="79"/>
      <c r="L64" s="79"/>
      <c r="M64" s="79"/>
      <c r="N64" s="79"/>
    </row>
    <row r="65" spans="1:15">
      <c r="A65" s="79"/>
      <c r="B65" s="87"/>
      <c r="C65" s="87"/>
      <c r="D65" s="87"/>
      <c r="E65" s="81"/>
      <c r="F65" s="81"/>
      <c r="G65" s="81"/>
      <c r="H65" s="79"/>
      <c r="I65" s="79"/>
      <c r="J65" s="79"/>
      <c r="K65" s="79"/>
      <c r="L65" s="79"/>
      <c r="M65" s="79"/>
      <c r="N65" s="79"/>
    </row>
    <row r="66" spans="1:15">
      <c r="A66" s="79"/>
      <c r="B66" s="87"/>
      <c r="C66" s="87"/>
      <c r="D66" s="87"/>
      <c r="E66" s="81"/>
      <c r="F66" s="81"/>
      <c r="G66" s="81"/>
      <c r="H66" s="79"/>
      <c r="I66" s="79"/>
      <c r="J66" s="79"/>
      <c r="K66" s="79"/>
      <c r="L66" s="79"/>
      <c r="M66" s="79"/>
      <c r="N66" s="79"/>
    </row>
    <row r="67" spans="1:15" s="103" customFormat="1">
      <c r="A67" s="79"/>
      <c r="B67" s="87"/>
      <c r="C67" s="87"/>
      <c r="D67" s="87"/>
      <c r="E67" s="81"/>
      <c r="F67" s="81"/>
      <c r="G67" s="81"/>
      <c r="H67" s="79"/>
      <c r="I67" s="79"/>
      <c r="J67" s="79"/>
      <c r="K67" s="79"/>
      <c r="L67" s="79"/>
      <c r="M67" s="79"/>
      <c r="N67" s="79"/>
      <c r="O67" s="102"/>
    </row>
    <row r="68" spans="1:15" s="103" customFormat="1">
      <c r="A68" s="79"/>
      <c r="B68" s="87"/>
      <c r="C68" s="87"/>
      <c r="D68" s="87"/>
      <c r="E68" s="81"/>
      <c r="F68" s="81"/>
      <c r="G68" s="81"/>
      <c r="H68" s="79"/>
      <c r="I68" s="79"/>
      <c r="J68" s="79"/>
      <c r="K68" s="79"/>
      <c r="L68" s="79"/>
      <c r="M68" s="79"/>
      <c r="N68" s="79"/>
      <c r="O68" s="102"/>
    </row>
    <row r="69" spans="1:15" s="103" customFormat="1">
      <c r="A69" s="79"/>
      <c r="B69" s="87"/>
      <c r="C69" s="87"/>
      <c r="D69" s="87"/>
      <c r="E69" s="81"/>
      <c r="F69" s="81"/>
      <c r="G69" s="81"/>
      <c r="H69" s="79"/>
      <c r="I69" s="79"/>
      <c r="J69" s="79"/>
      <c r="K69" s="79"/>
      <c r="L69" s="79"/>
      <c r="M69" s="79"/>
      <c r="N69" s="79"/>
      <c r="O69" s="102"/>
    </row>
    <row r="70" spans="1:15" s="103" customFormat="1">
      <c r="A70" s="79"/>
      <c r="B70" s="87"/>
      <c r="C70" s="87"/>
      <c r="D70" s="87"/>
      <c r="E70" s="81"/>
      <c r="F70" s="81"/>
      <c r="G70" s="81"/>
      <c r="H70" s="79"/>
      <c r="I70" s="79"/>
      <c r="J70" s="79"/>
      <c r="K70" s="79"/>
      <c r="L70" s="79"/>
      <c r="M70" s="79"/>
      <c r="N70" s="79"/>
      <c r="O70" s="102"/>
    </row>
    <row r="71" spans="1:15" s="103" customFormat="1">
      <c r="A71" s="102"/>
      <c r="B71" s="107"/>
      <c r="C71" s="107"/>
      <c r="D71" s="107"/>
      <c r="H71" s="102"/>
      <c r="I71" s="102"/>
      <c r="J71" s="102"/>
      <c r="K71" s="102"/>
      <c r="L71" s="102"/>
      <c r="M71" s="102"/>
      <c r="N71" s="102"/>
      <c r="O71" s="102"/>
    </row>
    <row r="72" spans="1:15" s="103" customFormat="1">
      <c r="A72" s="102"/>
      <c r="B72" s="107"/>
      <c r="C72" s="107"/>
      <c r="D72" s="107"/>
      <c r="H72" s="102"/>
      <c r="I72" s="102"/>
      <c r="J72" s="102"/>
      <c r="K72" s="102"/>
      <c r="L72" s="102"/>
      <c r="M72" s="102"/>
      <c r="N72" s="102"/>
      <c r="O72" s="102"/>
    </row>
    <row r="73" spans="1:15" s="103" customFormat="1">
      <c r="A73" s="102"/>
      <c r="B73" s="107"/>
      <c r="C73" s="107"/>
      <c r="D73" s="107"/>
      <c r="H73" s="102"/>
      <c r="I73" s="102"/>
      <c r="J73" s="102"/>
      <c r="K73" s="102"/>
      <c r="L73" s="102"/>
      <c r="M73" s="102"/>
      <c r="N73" s="102"/>
      <c r="O73" s="102"/>
    </row>
    <row r="74" spans="1:15" s="103" customFormat="1">
      <c r="A74" s="102"/>
      <c r="B74" s="107"/>
      <c r="C74" s="107"/>
      <c r="D74" s="107"/>
      <c r="H74" s="102"/>
      <c r="I74" s="102"/>
      <c r="J74" s="102"/>
      <c r="K74" s="102"/>
      <c r="L74" s="102"/>
      <c r="M74" s="102"/>
      <c r="N74" s="102"/>
      <c r="O74" s="102"/>
    </row>
    <row r="75" spans="1:15" s="103" customFormat="1">
      <c r="A75" s="102"/>
      <c r="B75" s="107"/>
      <c r="C75" s="107"/>
      <c r="D75" s="107"/>
      <c r="H75" s="102"/>
      <c r="I75" s="102"/>
      <c r="J75" s="102"/>
      <c r="K75" s="102"/>
      <c r="L75" s="102"/>
      <c r="M75" s="102"/>
      <c r="N75" s="102"/>
      <c r="O75" s="102"/>
    </row>
    <row r="76" spans="1:15" s="103" customFormat="1">
      <c r="A76" s="102"/>
      <c r="B76" s="107"/>
      <c r="C76" s="107"/>
      <c r="D76" s="107"/>
      <c r="H76" s="102"/>
      <c r="I76" s="102"/>
      <c r="J76" s="102"/>
      <c r="K76" s="102"/>
      <c r="L76" s="102"/>
      <c r="M76" s="102"/>
      <c r="N76" s="102"/>
      <c r="O76" s="102"/>
    </row>
    <row r="77" spans="1:15" s="103" customFormat="1">
      <c r="A77" s="102"/>
      <c r="B77" s="107"/>
      <c r="C77" s="107"/>
      <c r="D77" s="107"/>
      <c r="H77" s="102"/>
      <c r="I77" s="102"/>
      <c r="J77" s="102"/>
      <c r="K77" s="102"/>
      <c r="L77" s="102"/>
      <c r="M77" s="102"/>
      <c r="N77" s="102"/>
      <c r="O77" s="102"/>
    </row>
    <row r="78" spans="1:15" s="103" customFormat="1">
      <c r="A78" s="102"/>
      <c r="B78" s="107"/>
      <c r="C78" s="107"/>
      <c r="D78" s="107"/>
      <c r="H78" s="102"/>
      <c r="I78" s="102"/>
      <c r="J78" s="102"/>
      <c r="K78" s="102"/>
      <c r="L78" s="102"/>
      <c r="M78" s="102"/>
      <c r="N78" s="102"/>
      <c r="O78" s="102"/>
    </row>
    <row r="79" spans="1:15" s="103" customFormat="1">
      <c r="A79" s="102"/>
      <c r="B79" s="107"/>
      <c r="C79" s="107"/>
      <c r="D79" s="107"/>
      <c r="H79" s="102"/>
      <c r="I79" s="102"/>
      <c r="J79" s="102"/>
      <c r="K79" s="102"/>
      <c r="L79" s="102"/>
      <c r="M79" s="102"/>
      <c r="N79" s="102"/>
      <c r="O79" s="102"/>
    </row>
    <row r="80" spans="1:15" s="103" customFormat="1">
      <c r="A80" s="102"/>
      <c r="B80" s="107"/>
      <c r="C80" s="107"/>
      <c r="D80" s="107"/>
      <c r="H80" s="102"/>
      <c r="I80" s="102"/>
      <c r="J80" s="102"/>
      <c r="K80" s="102"/>
      <c r="L80" s="102"/>
      <c r="M80" s="102"/>
      <c r="N80" s="102"/>
      <c r="O80" s="102"/>
    </row>
    <row r="81" spans="1:15" s="103" customFormat="1">
      <c r="A81" s="102"/>
      <c r="B81" s="107"/>
      <c r="C81" s="107"/>
      <c r="D81" s="107"/>
      <c r="H81" s="102"/>
      <c r="I81" s="102"/>
      <c r="J81" s="102"/>
      <c r="K81" s="102"/>
      <c r="L81" s="102"/>
      <c r="M81" s="102"/>
      <c r="N81" s="102"/>
      <c r="O81" s="102"/>
    </row>
    <row r="82" spans="1:15" s="103" customFormat="1">
      <c r="A82" s="102"/>
      <c r="B82" s="107"/>
      <c r="C82" s="107"/>
      <c r="D82" s="107"/>
      <c r="H82" s="102"/>
      <c r="I82" s="102"/>
      <c r="J82" s="102"/>
      <c r="K82" s="102"/>
      <c r="L82" s="102"/>
      <c r="M82" s="102"/>
      <c r="N82" s="102"/>
      <c r="O82" s="102"/>
    </row>
    <row r="83" spans="1:15" s="103" customFormat="1">
      <c r="A83" s="102"/>
      <c r="B83" s="107"/>
      <c r="C83" s="107"/>
      <c r="D83" s="107"/>
      <c r="H83" s="102"/>
      <c r="I83" s="102"/>
      <c r="J83" s="102"/>
      <c r="K83" s="102"/>
      <c r="L83" s="102"/>
      <c r="M83" s="102"/>
      <c r="N83" s="102"/>
      <c r="O83" s="102"/>
    </row>
    <row r="84" spans="1:15" s="103" customFormat="1">
      <c r="A84" s="102"/>
      <c r="B84" s="107"/>
      <c r="C84" s="107"/>
      <c r="D84" s="107"/>
      <c r="H84" s="102"/>
      <c r="I84" s="102"/>
      <c r="J84" s="102"/>
      <c r="K84" s="102"/>
      <c r="L84" s="102"/>
      <c r="M84" s="102"/>
      <c r="N84" s="102"/>
      <c r="O84" s="102"/>
    </row>
    <row r="85" spans="1:15" s="103" customFormat="1">
      <c r="A85" s="102"/>
      <c r="B85" s="107"/>
      <c r="C85" s="107"/>
      <c r="D85" s="107"/>
      <c r="H85" s="102"/>
      <c r="I85" s="102"/>
      <c r="J85" s="102"/>
      <c r="K85" s="102"/>
      <c r="L85" s="102"/>
      <c r="M85" s="102"/>
      <c r="N85" s="102"/>
      <c r="O85" s="102"/>
    </row>
    <row r="86" spans="1:15" s="103" customFormat="1">
      <c r="A86" s="102"/>
      <c r="B86" s="107"/>
      <c r="C86" s="107"/>
      <c r="D86" s="107"/>
      <c r="H86" s="102"/>
      <c r="I86" s="102"/>
      <c r="J86" s="102"/>
      <c r="K86" s="102"/>
      <c r="L86" s="102"/>
      <c r="M86" s="102"/>
      <c r="N86" s="102"/>
      <c r="O86" s="102"/>
    </row>
    <row r="87" spans="1:15" s="103" customFormat="1">
      <c r="A87" s="102"/>
      <c r="B87" s="107"/>
      <c r="C87" s="107"/>
      <c r="D87" s="107"/>
      <c r="H87" s="102"/>
      <c r="I87" s="102"/>
      <c r="J87" s="102"/>
      <c r="K87" s="102"/>
      <c r="L87" s="102"/>
      <c r="M87" s="102"/>
      <c r="N87" s="102"/>
      <c r="O87" s="102"/>
    </row>
    <row r="88" spans="1:15" s="103" customFormat="1">
      <c r="A88" s="102"/>
      <c r="B88" s="107"/>
      <c r="C88" s="107"/>
      <c r="D88" s="107"/>
      <c r="H88" s="102"/>
      <c r="I88" s="102"/>
      <c r="J88" s="102"/>
      <c r="K88" s="102"/>
      <c r="L88" s="102"/>
      <c r="M88" s="102"/>
      <c r="N88" s="102"/>
      <c r="O88" s="102"/>
    </row>
    <row r="89" spans="1:15" s="103" customFormat="1">
      <c r="A89" s="102"/>
      <c r="B89" s="107"/>
      <c r="C89" s="107"/>
      <c r="D89" s="107"/>
      <c r="H89" s="102"/>
      <c r="I89" s="102"/>
      <c r="J89" s="102"/>
      <c r="K89" s="102"/>
      <c r="L89" s="102"/>
      <c r="M89" s="102"/>
      <c r="N89" s="102"/>
      <c r="O89" s="102"/>
    </row>
    <row r="90" spans="1:15" s="103" customFormat="1">
      <c r="A90" s="102"/>
      <c r="B90" s="107"/>
      <c r="C90" s="107"/>
      <c r="D90" s="107"/>
      <c r="H90" s="102"/>
      <c r="I90" s="102"/>
      <c r="J90" s="102"/>
      <c r="K90" s="102"/>
      <c r="L90" s="102"/>
      <c r="M90" s="102"/>
      <c r="N90" s="102"/>
      <c r="O90" s="102"/>
    </row>
    <row r="91" spans="1:15" s="103" customFormat="1">
      <c r="A91" s="102"/>
      <c r="B91" s="107"/>
      <c r="C91" s="107"/>
      <c r="D91" s="107"/>
      <c r="H91" s="102"/>
      <c r="I91" s="102"/>
      <c r="J91" s="102"/>
      <c r="K91" s="102"/>
      <c r="L91" s="102"/>
      <c r="M91" s="102"/>
      <c r="N91" s="102"/>
      <c r="O91" s="102"/>
    </row>
    <row r="92" spans="1:15" s="103" customFormat="1">
      <c r="A92" s="102"/>
      <c r="B92" s="107"/>
      <c r="C92" s="107"/>
      <c r="D92" s="107"/>
      <c r="H92" s="102"/>
      <c r="I92" s="102"/>
      <c r="J92" s="102"/>
      <c r="K92" s="102"/>
      <c r="L92" s="102"/>
      <c r="M92" s="102"/>
      <c r="N92" s="102"/>
      <c r="O92" s="102"/>
    </row>
    <row r="93" spans="1:15" s="103" customFormat="1">
      <c r="A93" s="102"/>
      <c r="B93" s="107"/>
      <c r="C93" s="107"/>
      <c r="D93" s="107"/>
      <c r="H93" s="102"/>
      <c r="I93" s="102"/>
      <c r="J93" s="102"/>
      <c r="K93" s="102"/>
      <c r="L93" s="102"/>
      <c r="M93" s="102"/>
      <c r="N93" s="102"/>
      <c r="O93" s="102"/>
    </row>
    <row r="94" spans="1:15" s="103" customFormat="1">
      <c r="A94" s="102"/>
      <c r="B94" s="107"/>
      <c r="C94" s="107"/>
      <c r="D94" s="107"/>
      <c r="H94" s="102"/>
      <c r="I94" s="102"/>
      <c r="J94" s="102"/>
      <c r="K94" s="102"/>
      <c r="L94" s="102"/>
      <c r="M94" s="102"/>
      <c r="N94" s="102"/>
      <c r="O94" s="102"/>
    </row>
    <row r="95" spans="1:15" s="103" customFormat="1">
      <c r="A95" s="102"/>
      <c r="B95" s="107"/>
      <c r="C95" s="107"/>
      <c r="D95" s="107"/>
      <c r="H95" s="102"/>
      <c r="I95" s="102"/>
      <c r="J95" s="102"/>
      <c r="K95" s="102"/>
      <c r="L95" s="102"/>
      <c r="M95" s="102"/>
      <c r="N95" s="102"/>
      <c r="O95" s="102"/>
    </row>
    <row r="96" spans="1:15" s="103" customFormat="1">
      <c r="A96" s="102"/>
      <c r="B96" s="107"/>
      <c r="C96" s="107"/>
      <c r="D96" s="107"/>
      <c r="H96" s="102"/>
      <c r="I96" s="102"/>
      <c r="J96" s="102"/>
      <c r="K96" s="102"/>
      <c r="L96" s="102"/>
      <c r="M96" s="102"/>
      <c r="N96" s="102"/>
      <c r="O96" s="102"/>
    </row>
    <row r="97" spans="1:15" s="103" customFormat="1">
      <c r="A97" s="102"/>
      <c r="B97" s="107"/>
      <c r="C97" s="107"/>
      <c r="D97" s="107"/>
      <c r="H97" s="102"/>
      <c r="I97" s="102"/>
      <c r="J97" s="102"/>
      <c r="K97" s="102"/>
      <c r="L97" s="102"/>
      <c r="M97" s="102"/>
      <c r="N97" s="102"/>
      <c r="O97" s="102"/>
    </row>
    <row r="98" spans="1:15" s="103" customFormat="1">
      <c r="A98" s="102"/>
      <c r="B98" s="107"/>
      <c r="C98" s="107"/>
      <c r="D98" s="107"/>
      <c r="H98" s="102"/>
      <c r="I98" s="102"/>
      <c r="J98" s="102"/>
      <c r="K98" s="102"/>
      <c r="L98" s="102"/>
      <c r="M98" s="102"/>
      <c r="N98" s="102"/>
      <c r="O98" s="102"/>
    </row>
    <row r="99" spans="1:15" s="103" customFormat="1">
      <c r="A99" s="102"/>
      <c r="B99" s="107"/>
      <c r="C99" s="107"/>
      <c r="D99" s="107"/>
      <c r="H99" s="102"/>
      <c r="I99" s="102"/>
      <c r="J99" s="102"/>
      <c r="K99" s="102"/>
      <c r="L99" s="102"/>
      <c r="M99" s="102"/>
      <c r="N99" s="102"/>
      <c r="O99" s="102"/>
    </row>
    <row r="100" spans="1:15" s="103" customFormat="1">
      <c r="A100" s="102"/>
      <c r="B100" s="107"/>
      <c r="C100" s="107"/>
      <c r="D100" s="107"/>
      <c r="H100" s="102"/>
      <c r="I100" s="102"/>
      <c r="J100" s="102"/>
      <c r="K100" s="102"/>
      <c r="L100" s="102"/>
      <c r="M100" s="102"/>
      <c r="N100" s="102"/>
      <c r="O100" s="102"/>
    </row>
    <row r="101" spans="1:15" s="103" customFormat="1">
      <c r="A101" s="102"/>
      <c r="B101" s="107"/>
      <c r="C101" s="107"/>
      <c r="D101" s="107"/>
      <c r="H101" s="102"/>
      <c r="I101" s="102"/>
      <c r="J101" s="102"/>
      <c r="K101" s="102"/>
      <c r="L101" s="102"/>
      <c r="M101" s="102"/>
      <c r="N101" s="102"/>
      <c r="O101" s="102"/>
    </row>
    <row r="102" spans="1:15" s="103" customFormat="1">
      <c r="A102" s="102"/>
      <c r="B102" s="107"/>
      <c r="C102" s="107"/>
      <c r="D102" s="107"/>
      <c r="H102" s="102"/>
      <c r="I102" s="102"/>
      <c r="J102" s="102"/>
      <c r="K102" s="102"/>
      <c r="L102" s="102"/>
      <c r="M102" s="102"/>
      <c r="N102" s="102"/>
      <c r="O102" s="102"/>
    </row>
    <row r="103" spans="1:15" s="103" customFormat="1">
      <c r="A103" s="102"/>
      <c r="B103" s="107"/>
      <c r="C103" s="107"/>
      <c r="D103" s="107"/>
      <c r="H103" s="102"/>
      <c r="I103" s="102"/>
      <c r="J103" s="102"/>
      <c r="K103" s="102"/>
      <c r="L103" s="102"/>
      <c r="M103" s="102"/>
      <c r="N103" s="102"/>
      <c r="O103" s="102"/>
    </row>
    <row r="104" spans="1:15" s="103" customFormat="1">
      <c r="A104" s="102"/>
      <c r="B104" s="107"/>
      <c r="C104" s="107"/>
      <c r="D104" s="107"/>
      <c r="H104" s="102"/>
      <c r="I104" s="102"/>
      <c r="J104" s="102"/>
      <c r="K104" s="102"/>
      <c r="L104" s="102"/>
      <c r="M104" s="102"/>
      <c r="N104" s="102"/>
      <c r="O104" s="102"/>
    </row>
    <row r="105" spans="1:15" s="103" customFormat="1">
      <c r="A105" s="102"/>
      <c r="B105" s="107"/>
      <c r="C105" s="107"/>
      <c r="D105" s="107"/>
      <c r="H105" s="102"/>
      <c r="I105" s="102"/>
      <c r="J105" s="102"/>
      <c r="K105" s="102"/>
      <c r="L105" s="102"/>
      <c r="M105" s="102"/>
      <c r="N105" s="102"/>
      <c r="O105" s="102"/>
    </row>
    <row r="106" spans="1:15" s="103" customFormat="1">
      <c r="A106" s="102"/>
      <c r="B106" s="107"/>
      <c r="C106" s="107"/>
      <c r="D106" s="107"/>
      <c r="H106" s="102"/>
      <c r="I106" s="102"/>
      <c r="J106" s="102"/>
      <c r="K106" s="102"/>
      <c r="L106" s="102"/>
      <c r="M106" s="102"/>
      <c r="N106" s="102"/>
      <c r="O106" s="102"/>
    </row>
    <row r="107" spans="1:15" s="103" customFormat="1">
      <c r="A107" s="102"/>
      <c r="B107" s="107"/>
      <c r="C107" s="107"/>
      <c r="D107" s="107"/>
      <c r="H107" s="102"/>
      <c r="I107" s="102"/>
      <c r="J107" s="102"/>
      <c r="K107" s="102"/>
      <c r="L107" s="102"/>
      <c r="M107" s="102"/>
      <c r="N107" s="102"/>
      <c r="O107" s="102"/>
    </row>
    <row r="108" spans="1:15" s="103" customFormat="1">
      <c r="A108" s="102"/>
      <c r="B108" s="107"/>
      <c r="C108" s="107"/>
      <c r="D108" s="107"/>
      <c r="H108" s="102"/>
      <c r="I108" s="102"/>
      <c r="J108" s="102"/>
      <c r="K108" s="102"/>
      <c r="L108" s="102"/>
      <c r="M108" s="102"/>
      <c r="N108" s="102"/>
      <c r="O108" s="102"/>
    </row>
    <row r="109" spans="1:15" s="103" customFormat="1">
      <c r="A109" s="102"/>
      <c r="B109" s="107"/>
      <c r="C109" s="107"/>
      <c r="D109" s="107"/>
      <c r="H109" s="102"/>
      <c r="I109" s="102"/>
      <c r="J109" s="102"/>
      <c r="K109" s="102"/>
      <c r="L109" s="102"/>
      <c r="M109" s="102"/>
      <c r="N109" s="102"/>
      <c r="O109" s="102"/>
    </row>
    <row r="110" spans="1:15" s="103" customFormat="1">
      <c r="A110" s="102"/>
      <c r="B110" s="107"/>
      <c r="C110" s="107"/>
      <c r="D110" s="107"/>
      <c r="H110" s="102"/>
      <c r="I110" s="102"/>
      <c r="J110" s="102"/>
      <c r="K110" s="102"/>
      <c r="L110" s="102"/>
      <c r="M110" s="102"/>
      <c r="N110" s="102"/>
      <c r="O110" s="102"/>
    </row>
    <row r="111" spans="1:15" s="103" customFormat="1">
      <c r="A111" s="102"/>
      <c r="B111" s="107"/>
      <c r="C111" s="107"/>
      <c r="D111" s="107"/>
      <c r="H111" s="102"/>
      <c r="I111" s="102"/>
      <c r="J111" s="102"/>
      <c r="K111" s="102"/>
      <c r="L111" s="102"/>
      <c r="M111" s="102"/>
      <c r="N111" s="102"/>
      <c r="O111" s="102"/>
    </row>
    <row r="112" spans="1:15" s="103" customFormat="1">
      <c r="A112" s="102"/>
      <c r="B112" s="107"/>
      <c r="C112" s="107"/>
      <c r="D112" s="107"/>
      <c r="H112" s="102"/>
      <c r="I112" s="102"/>
      <c r="J112" s="102"/>
      <c r="K112" s="102"/>
      <c r="L112" s="102"/>
      <c r="M112" s="102"/>
      <c r="N112" s="102"/>
      <c r="O112" s="102"/>
    </row>
    <row r="113" spans="1:15" s="103" customFormat="1">
      <c r="A113" s="102"/>
      <c r="B113" s="107"/>
      <c r="C113" s="107"/>
      <c r="D113" s="107"/>
      <c r="H113" s="102"/>
      <c r="I113" s="102"/>
      <c r="J113" s="102"/>
      <c r="K113" s="102"/>
      <c r="L113" s="102"/>
      <c r="M113" s="102"/>
      <c r="N113" s="102"/>
      <c r="O113" s="102"/>
    </row>
    <row r="114" spans="1:15" s="103" customFormat="1">
      <c r="A114" s="102"/>
      <c r="B114" s="107"/>
      <c r="C114" s="107"/>
      <c r="D114" s="107"/>
      <c r="H114" s="102"/>
      <c r="I114" s="102"/>
      <c r="J114" s="102"/>
      <c r="K114" s="102"/>
      <c r="L114" s="102"/>
      <c r="M114" s="102"/>
      <c r="N114" s="102"/>
      <c r="O114" s="102"/>
    </row>
    <row r="115" spans="1:15" s="103" customFormat="1">
      <c r="A115" s="102"/>
      <c r="B115" s="107"/>
      <c r="C115" s="107"/>
      <c r="D115" s="107"/>
      <c r="H115" s="102"/>
      <c r="I115" s="102"/>
      <c r="J115" s="102"/>
      <c r="K115" s="102"/>
      <c r="L115" s="102"/>
      <c r="M115" s="102"/>
      <c r="N115" s="102"/>
      <c r="O115" s="102"/>
    </row>
    <row r="116" spans="1:15" s="103" customFormat="1">
      <c r="A116" s="102"/>
      <c r="B116" s="107"/>
      <c r="C116" s="107"/>
      <c r="D116" s="107"/>
      <c r="H116" s="102"/>
      <c r="I116" s="102"/>
      <c r="J116" s="102"/>
      <c r="K116" s="102"/>
      <c r="L116" s="102"/>
      <c r="M116" s="102"/>
      <c r="N116" s="102"/>
      <c r="O116" s="102"/>
    </row>
    <row r="117" spans="1:15" s="103" customFormat="1">
      <c r="A117" s="102"/>
      <c r="B117" s="107"/>
      <c r="C117" s="107"/>
      <c r="D117" s="107"/>
      <c r="H117" s="102"/>
      <c r="I117" s="102"/>
      <c r="J117" s="102"/>
      <c r="K117" s="102"/>
      <c r="L117" s="102"/>
      <c r="M117" s="102"/>
      <c r="N117" s="102"/>
      <c r="O117" s="102"/>
    </row>
    <row r="118" spans="1:15" s="103" customFormat="1">
      <c r="A118" s="102"/>
      <c r="B118" s="107"/>
      <c r="C118" s="107"/>
      <c r="D118" s="107"/>
      <c r="H118" s="102"/>
      <c r="I118" s="102"/>
      <c r="J118" s="102"/>
      <c r="K118" s="102"/>
      <c r="L118" s="102"/>
      <c r="M118" s="102"/>
      <c r="N118" s="102"/>
      <c r="O118" s="102"/>
    </row>
    <row r="119" spans="1:15" s="103" customFormat="1">
      <c r="A119" s="102"/>
      <c r="B119" s="107"/>
      <c r="C119" s="107"/>
      <c r="D119" s="107"/>
      <c r="H119" s="102"/>
      <c r="I119" s="102"/>
      <c r="J119" s="102"/>
      <c r="K119" s="102"/>
      <c r="L119" s="102"/>
      <c r="M119" s="102"/>
      <c r="N119" s="102"/>
      <c r="O119" s="102"/>
    </row>
    <row r="120" spans="1:15" s="103" customFormat="1">
      <c r="A120" s="102"/>
      <c r="B120" s="107"/>
      <c r="C120" s="107"/>
      <c r="D120" s="107"/>
      <c r="H120" s="102"/>
      <c r="I120" s="102"/>
      <c r="J120" s="102"/>
      <c r="K120" s="102"/>
      <c r="L120" s="102"/>
      <c r="M120" s="102"/>
      <c r="N120" s="102"/>
      <c r="O120" s="102"/>
    </row>
    <row r="121" spans="1:15" s="103" customFormat="1">
      <c r="A121" s="102"/>
      <c r="B121" s="107"/>
      <c r="C121" s="107"/>
      <c r="D121" s="107"/>
      <c r="H121" s="102"/>
      <c r="I121" s="102"/>
      <c r="J121" s="102"/>
      <c r="K121" s="102"/>
      <c r="L121" s="102"/>
      <c r="M121" s="102"/>
      <c r="N121" s="102"/>
      <c r="O121" s="102"/>
    </row>
    <row r="122" spans="1:15" s="103" customFormat="1">
      <c r="A122" s="102"/>
      <c r="B122" s="107"/>
      <c r="C122" s="107"/>
      <c r="D122" s="107"/>
      <c r="H122" s="102"/>
      <c r="I122" s="102"/>
      <c r="J122" s="102"/>
      <c r="K122" s="102"/>
      <c r="L122" s="102"/>
      <c r="M122" s="102"/>
      <c r="N122" s="102"/>
      <c r="O122" s="102"/>
    </row>
    <row r="123" spans="1:15" s="103" customFormat="1">
      <c r="A123" s="102"/>
      <c r="B123" s="107"/>
      <c r="C123" s="107"/>
      <c r="D123" s="107"/>
      <c r="H123" s="102"/>
      <c r="I123" s="102"/>
      <c r="J123" s="102"/>
      <c r="K123" s="102"/>
      <c r="L123" s="102"/>
      <c r="M123" s="102"/>
      <c r="N123" s="102"/>
      <c r="O123" s="102"/>
    </row>
    <row r="124" spans="1:15" s="103" customFormat="1">
      <c r="A124" s="102"/>
      <c r="B124" s="107"/>
      <c r="C124" s="107"/>
      <c r="D124" s="107"/>
      <c r="H124" s="102"/>
      <c r="I124" s="102"/>
      <c r="J124" s="102"/>
      <c r="K124" s="102"/>
      <c r="L124" s="102"/>
      <c r="M124" s="102"/>
      <c r="N124" s="102"/>
      <c r="O124" s="102"/>
    </row>
    <row r="125" spans="1:15" s="103" customFormat="1">
      <c r="A125" s="102"/>
      <c r="B125" s="107"/>
      <c r="C125" s="107"/>
      <c r="D125" s="107"/>
      <c r="H125" s="102"/>
      <c r="I125" s="102"/>
      <c r="J125" s="102"/>
      <c r="K125" s="102"/>
      <c r="L125" s="102"/>
      <c r="M125" s="102"/>
      <c r="N125" s="102"/>
      <c r="O125" s="102"/>
    </row>
    <row r="126" spans="1:15" s="103" customFormat="1">
      <c r="A126" s="102"/>
      <c r="B126" s="107"/>
      <c r="C126" s="107"/>
      <c r="D126" s="107"/>
      <c r="H126" s="102"/>
      <c r="I126" s="102"/>
      <c r="J126" s="102"/>
      <c r="K126" s="102"/>
      <c r="L126" s="102"/>
      <c r="M126" s="102"/>
      <c r="N126" s="102"/>
      <c r="O126" s="102"/>
    </row>
    <row r="127" spans="1:15" s="103" customFormat="1">
      <c r="A127" s="102"/>
      <c r="B127" s="107"/>
      <c r="C127" s="107"/>
      <c r="D127" s="107"/>
      <c r="H127" s="102"/>
      <c r="I127" s="102"/>
      <c r="J127" s="102"/>
      <c r="K127" s="102"/>
      <c r="L127" s="102"/>
      <c r="M127" s="102"/>
      <c r="N127" s="102"/>
      <c r="O127" s="102"/>
    </row>
    <row r="128" spans="1:15" s="103" customFormat="1">
      <c r="A128" s="102"/>
      <c r="B128" s="107"/>
      <c r="C128" s="107"/>
      <c r="D128" s="107"/>
      <c r="H128" s="102"/>
      <c r="I128" s="102"/>
      <c r="J128" s="102"/>
      <c r="K128" s="102"/>
      <c r="L128" s="102"/>
      <c r="M128" s="102"/>
      <c r="N128" s="102"/>
      <c r="O128" s="102"/>
    </row>
    <row r="129" spans="1:15" s="103" customFormat="1">
      <c r="A129" s="102"/>
      <c r="B129" s="107"/>
      <c r="C129" s="107"/>
      <c r="D129" s="107"/>
      <c r="H129" s="102"/>
      <c r="I129" s="102"/>
      <c r="J129" s="102"/>
      <c r="K129" s="102"/>
      <c r="L129" s="102"/>
      <c r="M129" s="102"/>
      <c r="N129" s="102"/>
      <c r="O129" s="102"/>
    </row>
    <row r="130" spans="1:15" s="103" customFormat="1">
      <c r="A130" s="102"/>
      <c r="B130" s="107"/>
      <c r="C130" s="107"/>
      <c r="D130" s="107"/>
      <c r="H130" s="102"/>
      <c r="I130" s="102"/>
      <c r="J130" s="102"/>
      <c r="K130" s="102"/>
      <c r="L130" s="102"/>
      <c r="M130" s="102"/>
      <c r="N130" s="102"/>
      <c r="O130" s="102"/>
    </row>
    <row r="131" spans="1:15" s="103" customFormat="1">
      <c r="A131" s="102"/>
      <c r="B131" s="107"/>
      <c r="C131" s="107"/>
      <c r="D131" s="107"/>
      <c r="H131" s="102"/>
      <c r="I131" s="102"/>
      <c r="J131" s="102"/>
      <c r="K131" s="102"/>
      <c r="L131" s="102"/>
      <c r="M131" s="102"/>
      <c r="N131" s="102"/>
      <c r="O131" s="102"/>
    </row>
    <row r="132" spans="1:15" s="103" customFormat="1">
      <c r="A132" s="102"/>
      <c r="B132" s="107"/>
      <c r="C132" s="107"/>
      <c r="D132" s="107"/>
      <c r="H132" s="102"/>
      <c r="I132" s="102"/>
      <c r="J132" s="102"/>
      <c r="K132" s="102"/>
      <c r="L132" s="102"/>
      <c r="M132" s="102"/>
      <c r="N132" s="102"/>
      <c r="O132" s="102"/>
    </row>
    <row r="133" spans="1:15" s="103" customFormat="1">
      <c r="A133" s="102"/>
      <c r="B133" s="107"/>
      <c r="C133" s="107"/>
      <c r="D133" s="107"/>
      <c r="H133" s="102"/>
      <c r="I133" s="102"/>
      <c r="J133" s="102"/>
      <c r="K133" s="102"/>
      <c r="L133" s="102"/>
      <c r="M133" s="102"/>
      <c r="N133" s="102"/>
      <c r="O133" s="102"/>
    </row>
    <row r="134" spans="1:15" s="103" customFormat="1">
      <c r="A134" s="102"/>
      <c r="B134" s="107"/>
      <c r="C134" s="107"/>
      <c r="D134" s="107"/>
      <c r="H134" s="102"/>
      <c r="I134" s="102"/>
      <c r="J134" s="102"/>
      <c r="K134" s="102"/>
      <c r="L134" s="102"/>
      <c r="M134" s="102"/>
      <c r="N134" s="102"/>
      <c r="O134" s="102"/>
    </row>
    <row r="135" spans="1:15" s="103" customFormat="1">
      <c r="A135" s="102"/>
      <c r="B135" s="107"/>
      <c r="C135" s="107"/>
      <c r="D135" s="107"/>
      <c r="H135" s="102"/>
      <c r="I135" s="102"/>
      <c r="J135" s="102"/>
      <c r="K135" s="102"/>
      <c r="L135" s="102"/>
      <c r="M135" s="102"/>
      <c r="N135" s="102"/>
      <c r="O135" s="102"/>
    </row>
    <row r="136" spans="1:15" s="103" customFormat="1">
      <c r="A136" s="102"/>
      <c r="B136" s="107"/>
      <c r="C136" s="107"/>
      <c r="D136" s="107"/>
      <c r="H136" s="102"/>
      <c r="I136" s="102"/>
      <c r="J136" s="102"/>
      <c r="K136" s="102"/>
      <c r="L136" s="102"/>
      <c r="M136" s="102"/>
      <c r="N136" s="102"/>
      <c r="O136" s="102"/>
    </row>
    <row r="137" spans="1:15" s="103" customFormat="1">
      <c r="A137" s="102"/>
      <c r="B137" s="107"/>
      <c r="C137" s="107"/>
      <c r="D137" s="107"/>
      <c r="H137" s="102"/>
      <c r="I137" s="102"/>
      <c r="J137" s="102"/>
      <c r="K137" s="102"/>
      <c r="L137" s="102"/>
      <c r="M137" s="102"/>
      <c r="N137" s="102"/>
      <c r="O137" s="102"/>
    </row>
    <row r="138" spans="1:15" s="103" customFormat="1">
      <c r="A138" s="102"/>
      <c r="B138" s="107"/>
      <c r="C138" s="107"/>
      <c r="D138" s="107"/>
      <c r="H138" s="102"/>
      <c r="I138" s="102"/>
      <c r="J138" s="102"/>
      <c r="K138" s="102"/>
      <c r="L138" s="102"/>
      <c r="M138" s="102"/>
      <c r="N138" s="102"/>
      <c r="O138" s="102"/>
    </row>
    <row r="139" spans="1:15" s="103" customFormat="1">
      <c r="A139" s="102"/>
      <c r="B139" s="107"/>
      <c r="C139" s="107"/>
      <c r="D139" s="107"/>
      <c r="H139" s="102"/>
      <c r="I139" s="102"/>
      <c r="J139" s="102"/>
      <c r="K139" s="102"/>
      <c r="L139" s="102"/>
      <c r="M139" s="102"/>
      <c r="N139" s="102"/>
      <c r="O139" s="102"/>
    </row>
    <row r="140" spans="1:15" s="103" customFormat="1">
      <c r="A140" s="102"/>
      <c r="B140" s="107"/>
      <c r="C140" s="107"/>
      <c r="D140" s="107"/>
      <c r="H140" s="102"/>
      <c r="I140" s="102"/>
      <c r="J140" s="102"/>
      <c r="K140" s="102"/>
      <c r="L140" s="102"/>
      <c r="M140" s="102"/>
      <c r="N140" s="102"/>
      <c r="O140" s="102"/>
    </row>
    <row r="141" spans="1:15" s="103" customFormat="1">
      <c r="A141" s="102"/>
      <c r="B141" s="107"/>
      <c r="C141" s="107"/>
      <c r="D141" s="107"/>
      <c r="H141" s="102"/>
      <c r="I141" s="102"/>
      <c r="J141" s="102"/>
      <c r="K141" s="102"/>
      <c r="L141" s="102"/>
      <c r="M141" s="102"/>
      <c r="N141" s="102"/>
      <c r="O141" s="102"/>
    </row>
    <row r="142" spans="1:15" s="103" customFormat="1">
      <c r="A142" s="102"/>
      <c r="B142" s="107"/>
      <c r="C142" s="107"/>
      <c r="D142" s="107"/>
      <c r="H142" s="102"/>
      <c r="I142" s="102"/>
      <c r="J142" s="102"/>
      <c r="K142" s="102"/>
      <c r="L142" s="102"/>
      <c r="M142" s="102"/>
      <c r="N142" s="102"/>
      <c r="O142" s="102"/>
    </row>
    <row r="143" spans="1:15" s="103" customFormat="1">
      <c r="A143" s="102"/>
      <c r="B143" s="107"/>
      <c r="C143" s="107"/>
      <c r="D143" s="107"/>
      <c r="H143" s="102"/>
      <c r="I143" s="102"/>
      <c r="J143" s="102"/>
      <c r="K143" s="102"/>
      <c r="L143" s="102"/>
      <c r="M143" s="102"/>
      <c r="N143" s="102"/>
      <c r="O143" s="102"/>
    </row>
    <row r="144" spans="1:15" s="103" customFormat="1">
      <c r="A144" s="102"/>
      <c r="B144" s="107"/>
      <c r="C144" s="107"/>
      <c r="D144" s="107"/>
      <c r="H144" s="102"/>
      <c r="I144" s="102"/>
      <c r="J144" s="102"/>
      <c r="K144" s="102"/>
      <c r="L144" s="102"/>
      <c r="M144" s="102"/>
      <c r="N144" s="102"/>
      <c r="O144" s="102"/>
    </row>
    <row r="145" spans="1:15" s="103" customFormat="1">
      <c r="A145" s="102"/>
      <c r="B145" s="107"/>
      <c r="C145" s="107"/>
      <c r="D145" s="107"/>
      <c r="H145" s="102"/>
      <c r="I145" s="102"/>
      <c r="J145" s="102"/>
      <c r="K145" s="102"/>
      <c r="L145" s="102"/>
      <c r="M145" s="102"/>
      <c r="N145" s="102"/>
      <c r="O145" s="102"/>
    </row>
    <row r="146" spans="1:15" s="103" customFormat="1">
      <c r="A146" s="102"/>
      <c r="B146" s="107"/>
      <c r="C146" s="107"/>
      <c r="D146" s="107"/>
      <c r="H146" s="102"/>
      <c r="I146" s="102"/>
      <c r="J146" s="102"/>
      <c r="K146" s="102"/>
      <c r="L146" s="102"/>
      <c r="M146" s="102"/>
      <c r="N146" s="102"/>
      <c r="O146" s="102"/>
    </row>
    <row r="147" spans="1:15" s="103" customFormat="1">
      <c r="A147" s="102"/>
      <c r="B147" s="107"/>
      <c r="C147" s="107"/>
      <c r="D147" s="107"/>
      <c r="H147" s="102"/>
      <c r="I147" s="102"/>
      <c r="J147" s="102"/>
      <c r="K147" s="102"/>
      <c r="L147" s="102"/>
      <c r="M147" s="102"/>
      <c r="N147" s="102"/>
      <c r="O147" s="102"/>
    </row>
    <row r="148" spans="1:15" s="103" customFormat="1">
      <c r="A148" s="102"/>
      <c r="B148" s="107"/>
      <c r="C148" s="107"/>
      <c r="D148" s="107"/>
      <c r="H148" s="102"/>
      <c r="I148" s="102"/>
      <c r="J148" s="102"/>
      <c r="K148" s="102"/>
      <c r="L148" s="102"/>
      <c r="M148" s="102"/>
      <c r="N148" s="102"/>
      <c r="O148" s="102"/>
    </row>
    <row r="149" spans="1:15" s="103" customFormat="1">
      <c r="A149" s="102"/>
      <c r="B149" s="107"/>
      <c r="C149" s="107"/>
      <c r="D149" s="107"/>
      <c r="H149" s="102"/>
      <c r="I149" s="102"/>
      <c r="J149" s="102"/>
      <c r="K149" s="102"/>
      <c r="L149" s="102"/>
      <c r="M149" s="102"/>
      <c r="N149" s="102"/>
      <c r="O149" s="102"/>
    </row>
    <row r="150" spans="1:15" s="103" customFormat="1">
      <c r="A150" s="102"/>
      <c r="B150" s="107"/>
      <c r="C150" s="107"/>
      <c r="D150" s="107"/>
      <c r="H150" s="102"/>
      <c r="I150" s="102"/>
      <c r="J150" s="102"/>
      <c r="K150" s="102"/>
      <c r="L150" s="102"/>
      <c r="M150" s="102"/>
      <c r="N150" s="102"/>
      <c r="O150" s="102"/>
    </row>
    <row r="151" spans="1:15" s="103" customFormat="1">
      <c r="A151" s="102"/>
      <c r="B151" s="107"/>
      <c r="C151" s="107"/>
      <c r="D151" s="107"/>
      <c r="H151" s="102"/>
      <c r="I151" s="102"/>
      <c r="J151" s="102"/>
      <c r="K151" s="102"/>
      <c r="L151" s="102"/>
      <c r="M151" s="102"/>
      <c r="N151" s="102"/>
      <c r="O151" s="102"/>
    </row>
    <row r="152" spans="1:15" s="103" customFormat="1">
      <c r="A152" s="102"/>
      <c r="B152" s="107"/>
      <c r="C152" s="107"/>
      <c r="D152" s="107"/>
      <c r="H152" s="102"/>
      <c r="I152" s="102"/>
      <c r="J152" s="102"/>
      <c r="K152" s="102"/>
      <c r="L152" s="102"/>
      <c r="M152" s="102"/>
      <c r="N152" s="102"/>
      <c r="O152" s="102"/>
    </row>
    <row r="153" spans="1:15" s="103" customFormat="1">
      <c r="A153" s="102"/>
      <c r="B153" s="107"/>
      <c r="C153" s="107"/>
      <c r="D153" s="107"/>
      <c r="H153" s="102"/>
      <c r="I153" s="102"/>
      <c r="J153" s="102"/>
      <c r="K153" s="102"/>
      <c r="L153" s="102"/>
      <c r="M153" s="102"/>
      <c r="N153" s="102"/>
      <c r="O153" s="102"/>
    </row>
    <row r="154" spans="1:15" s="103" customFormat="1">
      <c r="A154" s="102"/>
      <c r="B154" s="107"/>
      <c r="C154" s="107"/>
      <c r="D154" s="107"/>
      <c r="H154" s="102"/>
      <c r="I154" s="102"/>
      <c r="J154" s="102"/>
      <c r="K154" s="102"/>
      <c r="L154" s="102"/>
      <c r="M154" s="102"/>
      <c r="N154" s="102"/>
      <c r="O154" s="102"/>
    </row>
    <row r="155" spans="1:15" s="103" customFormat="1">
      <c r="A155" s="102"/>
      <c r="B155" s="107"/>
      <c r="C155" s="107"/>
      <c r="D155" s="107"/>
      <c r="H155" s="102"/>
      <c r="I155" s="102"/>
      <c r="J155" s="102"/>
      <c r="K155" s="102"/>
      <c r="L155" s="102"/>
      <c r="M155" s="102"/>
      <c r="N155" s="102"/>
      <c r="O155" s="102"/>
    </row>
    <row r="156" spans="1:15" s="103" customFormat="1">
      <c r="A156" s="102"/>
      <c r="B156" s="107"/>
      <c r="C156" s="107"/>
      <c r="D156" s="107"/>
      <c r="H156" s="102"/>
      <c r="I156" s="102"/>
      <c r="J156" s="102"/>
      <c r="K156" s="102"/>
      <c r="L156" s="102"/>
      <c r="M156" s="102"/>
      <c r="N156" s="102"/>
      <c r="O156" s="102"/>
    </row>
    <row r="157" spans="1:15" s="103" customFormat="1">
      <c r="A157" s="102"/>
      <c r="B157" s="107"/>
      <c r="C157" s="107"/>
      <c r="D157" s="107"/>
      <c r="H157" s="102"/>
      <c r="I157" s="102"/>
      <c r="J157" s="102"/>
      <c r="K157" s="102"/>
      <c r="L157" s="102"/>
      <c r="M157" s="102"/>
      <c r="N157" s="102"/>
      <c r="O157" s="102"/>
    </row>
    <row r="158" spans="1:15" s="103" customFormat="1">
      <c r="A158" s="102"/>
      <c r="B158" s="107"/>
      <c r="C158" s="107"/>
      <c r="D158" s="107"/>
      <c r="H158" s="102"/>
      <c r="I158" s="102"/>
      <c r="J158" s="102"/>
      <c r="K158" s="102"/>
      <c r="L158" s="102"/>
      <c r="M158" s="102"/>
      <c r="N158" s="102"/>
      <c r="O158" s="102"/>
    </row>
    <row r="159" spans="1:15" s="103" customFormat="1">
      <c r="A159" s="102"/>
      <c r="B159" s="107"/>
      <c r="C159" s="107"/>
      <c r="D159" s="107"/>
      <c r="H159" s="102"/>
      <c r="I159" s="102"/>
      <c r="J159" s="102"/>
      <c r="K159" s="102"/>
      <c r="L159" s="102"/>
      <c r="M159" s="102"/>
      <c r="N159" s="102"/>
      <c r="O159" s="102"/>
    </row>
    <row r="160" spans="1:15" s="103" customFormat="1">
      <c r="A160" s="102"/>
      <c r="B160" s="107"/>
      <c r="C160" s="107"/>
      <c r="D160" s="107"/>
      <c r="H160" s="102"/>
      <c r="I160" s="102"/>
      <c r="J160" s="102"/>
      <c r="K160" s="102"/>
      <c r="L160" s="102"/>
      <c r="M160" s="102"/>
      <c r="N160" s="102"/>
      <c r="O160" s="102"/>
    </row>
    <row r="161" spans="1:15" s="103" customFormat="1">
      <c r="A161" s="102"/>
      <c r="B161" s="107"/>
      <c r="C161" s="107"/>
      <c r="D161" s="107"/>
      <c r="H161" s="102"/>
      <c r="I161" s="102"/>
      <c r="J161" s="102"/>
      <c r="K161" s="102"/>
      <c r="L161" s="102"/>
      <c r="M161" s="102"/>
      <c r="N161" s="102"/>
      <c r="O161" s="102"/>
    </row>
    <row r="162" spans="1:15" s="103" customFormat="1">
      <c r="A162" s="102"/>
      <c r="B162" s="107"/>
      <c r="C162" s="107"/>
      <c r="D162" s="107"/>
      <c r="H162" s="102"/>
      <c r="I162" s="102"/>
      <c r="J162" s="102"/>
      <c r="K162" s="102"/>
      <c r="L162" s="102"/>
      <c r="M162" s="102"/>
      <c r="N162" s="102"/>
      <c r="O162" s="102"/>
    </row>
    <row r="163" spans="1:15" s="103" customFormat="1">
      <c r="A163" s="102"/>
      <c r="B163" s="107"/>
      <c r="C163" s="107"/>
      <c r="D163" s="107"/>
      <c r="H163" s="102"/>
      <c r="I163" s="102"/>
      <c r="J163" s="102"/>
      <c r="K163" s="102"/>
      <c r="L163" s="102"/>
      <c r="M163" s="102"/>
      <c r="N163" s="102"/>
      <c r="O163" s="102"/>
    </row>
    <row r="164" spans="1:15" s="103" customFormat="1">
      <c r="A164" s="102"/>
      <c r="B164" s="107"/>
      <c r="C164" s="107"/>
      <c r="D164" s="107"/>
      <c r="H164" s="102"/>
      <c r="I164" s="102"/>
      <c r="J164" s="102"/>
      <c r="K164" s="102"/>
      <c r="L164" s="102"/>
      <c r="M164" s="102"/>
      <c r="N164" s="102"/>
      <c r="O164" s="102"/>
    </row>
    <row r="165" spans="1:15" s="103" customFormat="1">
      <c r="A165" s="102"/>
      <c r="B165" s="107"/>
      <c r="C165" s="107"/>
      <c r="D165" s="107"/>
      <c r="H165" s="102"/>
      <c r="I165" s="102"/>
      <c r="J165" s="102"/>
      <c r="K165" s="102"/>
      <c r="L165" s="102"/>
      <c r="M165" s="102"/>
      <c r="N165" s="102"/>
      <c r="O165" s="102"/>
    </row>
    <row r="166" spans="1:15" s="103" customFormat="1">
      <c r="A166" s="102"/>
      <c r="B166" s="107"/>
      <c r="C166" s="107"/>
      <c r="D166" s="107"/>
      <c r="H166" s="102"/>
      <c r="I166" s="102"/>
      <c r="J166" s="102"/>
      <c r="K166" s="102"/>
      <c r="L166" s="102"/>
      <c r="M166" s="102"/>
      <c r="N166" s="102"/>
      <c r="O166" s="102"/>
    </row>
    <row r="167" spans="1:15" s="103" customFormat="1">
      <c r="A167" s="102"/>
      <c r="B167" s="107"/>
      <c r="C167" s="107"/>
      <c r="D167" s="107"/>
      <c r="H167" s="102"/>
      <c r="I167" s="102"/>
      <c r="J167" s="102"/>
      <c r="K167" s="102"/>
      <c r="L167" s="102"/>
      <c r="M167" s="102"/>
      <c r="N167" s="102"/>
      <c r="O167" s="102"/>
    </row>
    <row r="168" spans="1:15" s="103" customFormat="1">
      <c r="A168" s="102"/>
      <c r="B168" s="107"/>
      <c r="C168" s="107"/>
      <c r="D168" s="107"/>
      <c r="H168" s="102"/>
      <c r="I168" s="102"/>
      <c r="J168" s="102"/>
      <c r="K168" s="102"/>
      <c r="L168" s="102"/>
      <c r="M168" s="102"/>
      <c r="N168" s="102"/>
      <c r="O168" s="102"/>
    </row>
    <row r="169" spans="1:15" s="103" customFormat="1">
      <c r="A169" s="102"/>
      <c r="B169" s="107"/>
      <c r="C169" s="107"/>
      <c r="D169" s="107"/>
      <c r="H169" s="102"/>
      <c r="I169" s="102"/>
      <c r="J169" s="102"/>
      <c r="K169" s="102"/>
      <c r="L169" s="102"/>
      <c r="M169" s="102"/>
      <c r="N169" s="102"/>
      <c r="O169" s="102"/>
    </row>
    <row r="170" spans="1:15" s="103" customFormat="1">
      <c r="A170" s="102"/>
      <c r="B170" s="107"/>
      <c r="C170" s="107"/>
      <c r="D170" s="107"/>
      <c r="H170" s="102"/>
      <c r="I170" s="102"/>
      <c r="J170" s="102"/>
      <c r="K170" s="102"/>
      <c r="L170" s="102"/>
      <c r="M170" s="102"/>
      <c r="N170" s="102"/>
      <c r="O170" s="102"/>
    </row>
    <row r="171" spans="1:15" s="103" customFormat="1">
      <c r="A171" s="102"/>
      <c r="B171" s="107"/>
      <c r="C171" s="107"/>
      <c r="D171" s="107"/>
      <c r="H171" s="102"/>
      <c r="I171" s="102"/>
      <c r="J171" s="102"/>
      <c r="K171" s="102"/>
      <c r="L171" s="102"/>
      <c r="M171" s="102"/>
      <c r="N171" s="102"/>
      <c r="O171" s="102"/>
    </row>
    <row r="172" spans="1:15" s="103" customFormat="1">
      <c r="A172" s="102"/>
      <c r="B172" s="107"/>
      <c r="C172" s="107"/>
      <c r="D172" s="107"/>
      <c r="H172" s="102"/>
      <c r="I172" s="102"/>
      <c r="J172" s="102"/>
      <c r="K172" s="102"/>
      <c r="L172" s="102"/>
      <c r="M172" s="102"/>
      <c r="N172" s="102"/>
      <c r="O172" s="102"/>
    </row>
    <row r="173" spans="1:15" s="103" customFormat="1">
      <c r="A173" s="102"/>
      <c r="B173" s="107"/>
      <c r="C173" s="107"/>
      <c r="D173" s="107"/>
      <c r="H173" s="102"/>
      <c r="I173" s="102"/>
      <c r="J173" s="102"/>
      <c r="K173" s="102"/>
      <c r="L173" s="102"/>
      <c r="M173" s="102"/>
      <c r="N173" s="102"/>
      <c r="O173" s="102"/>
    </row>
    <row r="174" spans="1:15" s="103" customFormat="1">
      <c r="A174" s="102"/>
      <c r="B174" s="107"/>
      <c r="C174" s="107"/>
      <c r="D174" s="107"/>
      <c r="H174" s="102"/>
      <c r="I174" s="102"/>
      <c r="J174" s="102"/>
      <c r="K174" s="102"/>
      <c r="L174" s="102"/>
      <c r="M174" s="102"/>
      <c r="N174" s="102"/>
      <c r="O174" s="102"/>
    </row>
    <row r="175" spans="1:15" s="103" customFormat="1">
      <c r="A175" s="102"/>
      <c r="B175" s="107"/>
      <c r="C175" s="107"/>
      <c r="D175" s="107"/>
      <c r="H175" s="102"/>
      <c r="I175" s="102"/>
      <c r="J175" s="102"/>
      <c r="K175" s="102"/>
      <c r="L175" s="102"/>
      <c r="M175" s="102"/>
      <c r="N175" s="102"/>
      <c r="O175" s="102"/>
    </row>
    <row r="176" spans="1:15" s="103" customFormat="1">
      <c r="A176" s="102"/>
      <c r="B176" s="107"/>
      <c r="C176" s="107"/>
      <c r="D176" s="107"/>
      <c r="H176" s="102"/>
      <c r="I176" s="102"/>
      <c r="J176" s="102"/>
      <c r="K176" s="102"/>
      <c r="L176" s="102"/>
      <c r="M176" s="102"/>
      <c r="N176" s="102"/>
      <c r="O176" s="102"/>
    </row>
    <row r="177" spans="1:15" s="103" customFormat="1">
      <c r="A177" s="102"/>
      <c r="B177" s="107"/>
      <c r="C177" s="107"/>
      <c r="D177" s="107"/>
      <c r="H177" s="102"/>
      <c r="I177" s="102"/>
      <c r="J177" s="102"/>
      <c r="K177" s="102"/>
      <c r="L177" s="102"/>
      <c r="M177" s="102"/>
      <c r="N177" s="102"/>
      <c r="O177" s="102"/>
    </row>
    <row r="178" spans="1:15" s="103" customFormat="1">
      <c r="A178" s="102"/>
      <c r="B178" s="107"/>
      <c r="C178" s="107"/>
      <c r="D178" s="107"/>
      <c r="H178" s="102"/>
      <c r="I178" s="102"/>
      <c r="J178" s="102"/>
      <c r="K178" s="102"/>
      <c r="L178" s="102"/>
      <c r="M178" s="102"/>
      <c r="N178" s="102"/>
      <c r="O178" s="102"/>
    </row>
    <row r="179" spans="1:15" s="103" customFormat="1">
      <c r="A179" s="102"/>
      <c r="B179" s="107"/>
      <c r="C179" s="107"/>
      <c r="D179" s="107"/>
      <c r="H179" s="102"/>
      <c r="I179" s="102"/>
      <c r="J179" s="102"/>
      <c r="K179" s="102"/>
      <c r="L179" s="102"/>
      <c r="M179" s="102"/>
      <c r="N179" s="102"/>
      <c r="O179" s="102"/>
    </row>
    <row r="180" spans="1:15" s="103" customFormat="1">
      <c r="A180" s="102"/>
      <c r="B180" s="107"/>
      <c r="C180" s="107"/>
      <c r="D180" s="107"/>
      <c r="H180" s="102"/>
      <c r="I180" s="102"/>
      <c r="J180" s="102"/>
      <c r="K180" s="102"/>
      <c r="L180" s="102"/>
      <c r="M180" s="102"/>
      <c r="N180" s="102"/>
      <c r="O180" s="102"/>
    </row>
    <row r="181" spans="1:15" s="103" customFormat="1">
      <c r="A181" s="102"/>
      <c r="B181" s="107"/>
      <c r="C181" s="107"/>
      <c r="D181" s="107"/>
      <c r="H181" s="102"/>
      <c r="I181" s="102"/>
      <c r="J181" s="102"/>
      <c r="K181" s="102"/>
      <c r="L181" s="102"/>
      <c r="M181" s="102"/>
      <c r="N181" s="102"/>
      <c r="O181" s="102"/>
    </row>
    <row r="182" spans="1:15" s="103" customFormat="1">
      <c r="A182" s="102"/>
      <c r="B182" s="107"/>
      <c r="C182" s="107"/>
      <c r="D182" s="107"/>
      <c r="H182" s="102"/>
      <c r="I182" s="102"/>
      <c r="J182" s="102"/>
      <c r="K182" s="102"/>
      <c r="L182" s="102"/>
      <c r="M182" s="102"/>
      <c r="N182" s="102"/>
      <c r="O182" s="102"/>
    </row>
    <row r="183" spans="1:15" s="103" customFormat="1">
      <c r="A183" s="102"/>
      <c r="B183" s="107"/>
      <c r="C183" s="107"/>
      <c r="D183" s="107"/>
      <c r="H183" s="102"/>
      <c r="I183" s="102"/>
      <c r="J183" s="102"/>
      <c r="K183" s="102"/>
      <c r="L183" s="102"/>
      <c r="M183" s="102"/>
      <c r="N183" s="102"/>
      <c r="O183" s="102"/>
    </row>
    <row r="184" spans="1:15" s="103" customFormat="1">
      <c r="A184" s="102"/>
      <c r="B184" s="107"/>
      <c r="C184" s="107"/>
      <c r="D184" s="107"/>
      <c r="H184" s="102"/>
      <c r="I184" s="102"/>
      <c r="J184" s="102"/>
      <c r="K184" s="102"/>
      <c r="L184" s="102"/>
      <c r="M184" s="102"/>
      <c r="N184" s="102"/>
      <c r="O184" s="102"/>
    </row>
    <row r="185" spans="1:15" s="103" customFormat="1">
      <c r="A185" s="102"/>
      <c r="B185" s="107"/>
      <c r="C185" s="107"/>
      <c r="D185" s="107"/>
      <c r="H185" s="102"/>
      <c r="I185" s="102"/>
      <c r="J185" s="102"/>
      <c r="K185" s="102"/>
      <c r="L185" s="102"/>
      <c r="M185" s="102"/>
      <c r="N185" s="102"/>
      <c r="O185" s="102"/>
    </row>
    <row r="186" spans="1:15" s="103" customFormat="1">
      <c r="A186" s="102"/>
      <c r="B186" s="107"/>
      <c r="C186" s="107"/>
      <c r="D186" s="107"/>
      <c r="H186" s="102"/>
      <c r="I186" s="102"/>
      <c r="J186" s="102"/>
      <c r="K186" s="102"/>
      <c r="L186" s="102"/>
      <c r="M186" s="102"/>
      <c r="N186" s="102"/>
      <c r="O186" s="102"/>
    </row>
    <row r="187" spans="1:15" s="103" customFormat="1">
      <c r="A187" s="102"/>
      <c r="B187" s="107"/>
      <c r="C187" s="107"/>
      <c r="D187" s="107"/>
      <c r="H187" s="102"/>
      <c r="I187" s="102"/>
      <c r="J187" s="102"/>
      <c r="K187" s="102"/>
      <c r="L187" s="102"/>
      <c r="M187" s="102"/>
      <c r="N187" s="102"/>
      <c r="O187" s="102"/>
    </row>
    <row r="188" spans="1:15" s="103" customFormat="1">
      <c r="A188" s="102"/>
      <c r="B188" s="107"/>
      <c r="C188" s="107"/>
      <c r="D188" s="107"/>
      <c r="H188" s="102"/>
      <c r="I188" s="102"/>
      <c r="J188" s="102"/>
      <c r="K188" s="102"/>
      <c r="L188" s="102"/>
      <c r="M188" s="102"/>
      <c r="N188" s="102"/>
      <c r="O188" s="102"/>
    </row>
    <row r="189" spans="1:15" s="103" customFormat="1">
      <c r="A189" s="102"/>
      <c r="B189" s="107"/>
      <c r="C189" s="107"/>
      <c r="D189" s="107"/>
      <c r="H189" s="102"/>
      <c r="I189" s="102"/>
      <c r="J189" s="102"/>
      <c r="K189" s="102"/>
      <c r="L189" s="102"/>
      <c r="M189" s="102"/>
      <c r="N189" s="102"/>
      <c r="O189" s="102"/>
    </row>
    <row r="190" spans="1:15" s="103" customFormat="1">
      <c r="A190" s="102"/>
      <c r="B190" s="107"/>
      <c r="C190" s="107"/>
      <c r="D190" s="107"/>
      <c r="H190" s="102"/>
      <c r="I190" s="102"/>
      <c r="J190" s="102"/>
      <c r="K190" s="102"/>
      <c r="L190" s="102"/>
      <c r="M190" s="102"/>
      <c r="N190" s="102"/>
      <c r="O190" s="102"/>
    </row>
    <row r="191" spans="1:15" s="103" customFormat="1">
      <c r="A191" s="102"/>
      <c r="B191" s="107"/>
      <c r="C191" s="107"/>
      <c r="D191" s="107"/>
      <c r="H191" s="102"/>
      <c r="I191" s="102"/>
      <c r="J191" s="102"/>
      <c r="K191" s="102"/>
      <c r="L191" s="102"/>
      <c r="M191" s="102"/>
      <c r="N191" s="102"/>
      <c r="O191" s="102"/>
    </row>
    <row r="192" spans="1:15" s="103" customFormat="1">
      <c r="A192" s="102"/>
      <c r="B192" s="107"/>
      <c r="C192" s="107"/>
      <c r="D192" s="107"/>
      <c r="H192" s="102"/>
      <c r="I192" s="102"/>
      <c r="J192" s="102"/>
      <c r="K192" s="102"/>
      <c r="L192" s="102"/>
      <c r="M192" s="102"/>
      <c r="N192" s="102"/>
      <c r="O192" s="102"/>
    </row>
    <row r="193" spans="1:15" s="103" customFormat="1">
      <c r="A193" s="102"/>
      <c r="B193" s="107"/>
      <c r="C193" s="107"/>
      <c r="D193" s="107"/>
      <c r="H193" s="102"/>
      <c r="I193" s="102"/>
      <c r="J193" s="102"/>
      <c r="K193" s="102"/>
      <c r="L193" s="102"/>
      <c r="M193" s="102"/>
      <c r="N193" s="102"/>
      <c r="O193" s="102"/>
    </row>
    <row r="194" spans="1:15" s="103" customFormat="1">
      <c r="A194" s="102"/>
      <c r="B194" s="107"/>
      <c r="C194" s="107"/>
      <c r="D194" s="107"/>
      <c r="H194" s="102"/>
      <c r="I194" s="102"/>
      <c r="J194" s="102"/>
      <c r="K194" s="102"/>
      <c r="L194" s="102"/>
      <c r="M194" s="102"/>
      <c r="N194" s="102"/>
      <c r="O194" s="102"/>
    </row>
    <row r="195" spans="1:15" s="103" customFormat="1">
      <c r="A195" s="102"/>
      <c r="B195" s="107"/>
      <c r="C195" s="107"/>
      <c r="D195" s="107"/>
      <c r="H195" s="102"/>
      <c r="I195" s="102"/>
      <c r="J195" s="102"/>
      <c r="K195" s="102"/>
      <c r="L195" s="102"/>
      <c r="M195" s="102"/>
      <c r="N195" s="102"/>
      <c r="O195" s="102"/>
    </row>
  </sheetData>
  <mergeCells count="1">
    <mergeCell ref="E6:F6"/>
  </mergeCells>
  <pageMargins left="0.95" right="0.7" top="0.5" bottom="0.5" header="0" footer="0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FBA00A48998E448FB1A451F288ADC0" ma:contentTypeVersion="2" ma:contentTypeDescription="Create a new document." ma:contentTypeScope="" ma:versionID="71f700f26edf9b13940944bb97c6600b">
  <xsd:schema xmlns:xsd="http://www.w3.org/2001/XMLSchema" xmlns:xs="http://www.w3.org/2001/XMLSchema" xmlns:p="http://schemas.microsoft.com/office/2006/metadata/properties" xmlns:ns2="f7320f5c-4d70-4c60-bed3-710aa809be35" targetNamespace="http://schemas.microsoft.com/office/2006/metadata/properties" ma:root="true" ma:fieldsID="9d59c37f3327da9f44ebd7b17c172753" ns2:_="">
    <xsd:import namespace="f7320f5c-4d70-4c60-bed3-710aa809be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320f5c-4d70-4c60-bed3-710aa809b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300656-067F-4C49-ADAD-461C156A71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41D5F4-6A48-4016-8CF1-E826A4C03321}">
  <ds:schemaRefs>
    <ds:schemaRef ds:uri="http://purl.org/dc/terms/"/>
    <ds:schemaRef ds:uri="f7320f5c-4d70-4c60-bed3-710aa809be3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6F58A3B-EE8B-46C0-9492-EA2234C8A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320f5c-4d70-4c60-bed3-710aa809be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Exhibit 1</vt:lpstr>
      <vt:lpstr>Exhibit 2</vt:lpstr>
      <vt:lpstr>Exhibit 3</vt:lpstr>
      <vt:lpstr>Exhibit 4</vt:lpstr>
      <vt:lpstr>Exhibit 7</vt:lpstr>
      <vt:lpstr>WACC</vt:lpstr>
      <vt:lpstr>UFCF - Sterling</vt:lpstr>
      <vt:lpstr>UFCF - Sterling w Synergies</vt:lpstr>
    </vt:vector>
  </TitlesOfParts>
  <Company>Babson College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Exploring</cp:lastModifiedBy>
  <cp:revision/>
  <dcterms:created xsi:type="dcterms:W3CDTF">2012-12-05T19:40:50Z</dcterms:created>
  <dcterms:modified xsi:type="dcterms:W3CDTF">2020-06-02T18:47:13Z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0x0101001BFBA00A48998E448FB1A451F288ADC0</vt:lpwstr>
  </property>
</Properties>
</file>