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Question 1-8" sheetId="2" r:id="rId1"/>
    <sheet name="Question 9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5" i="3" l="1"/>
  <c r="D27" i="3"/>
  <c r="B28" i="3"/>
  <c r="C28" i="3"/>
  <c r="D28" i="3"/>
  <c r="B29" i="3"/>
  <c r="C29" i="3"/>
  <c r="D29" i="3"/>
  <c r="B30" i="3"/>
  <c r="C30" i="3"/>
  <c r="D30" i="3"/>
  <c r="B31" i="3"/>
  <c r="C31" i="3"/>
  <c r="D31" i="3"/>
  <c r="B32" i="3"/>
  <c r="C32" i="3"/>
  <c r="D32" i="3"/>
  <c r="B33" i="3"/>
  <c r="C33" i="3"/>
  <c r="D33" i="3"/>
  <c r="B34" i="3"/>
  <c r="C34" i="3"/>
  <c r="D34" i="3"/>
  <c r="B35" i="3"/>
  <c r="C35" i="3"/>
  <c r="D35" i="3"/>
  <c r="B36" i="3"/>
  <c r="C36" i="3"/>
  <c r="D36" i="3"/>
  <c r="B37" i="3"/>
  <c r="C37" i="3"/>
  <c r="D37" i="3"/>
  <c r="B38" i="3"/>
  <c r="C38" i="3"/>
  <c r="D38" i="3"/>
  <c r="B39" i="3"/>
  <c r="C39" i="3"/>
  <c r="D39" i="3"/>
  <c r="B40" i="3"/>
  <c r="B41" i="3"/>
  <c r="C52" i="3"/>
  <c r="B58" i="3"/>
  <c r="C58" i="3"/>
  <c r="D58" i="3"/>
  <c r="E58" i="3"/>
  <c r="F58" i="3"/>
  <c r="C76" i="3"/>
  <c r="C77" i="3"/>
  <c r="B57" i="3"/>
  <c r="C57" i="3"/>
  <c r="C48" i="3"/>
  <c r="C47" i="3"/>
  <c r="C46" i="3"/>
  <c r="C46" i="2"/>
  <c r="C47" i="2"/>
  <c r="C48" i="2"/>
  <c r="D27" i="2"/>
  <c r="B28" i="2"/>
  <c r="C28" i="2"/>
  <c r="D28" i="2"/>
  <c r="B29" i="2"/>
  <c r="C29" i="2"/>
  <c r="D29" i="2"/>
  <c r="B30" i="2"/>
  <c r="C30" i="2"/>
  <c r="D30" i="2"/>
  <c r="B31" i="2"/>
  <c r="C31" i="2"/>
  <c r="D31" i="2"/>
  <c r="B32" i="2"/>
  <c r="C32" i="2"/>
  <c r="D32" i="2"/>
  <c r="B33" i="2"/>
  <c r="C33" i="2"/>
  <c r="D33" i="2"/>
  <c r="B34" i="2"/>
  <c r="C34" i="2"/>
  <c r="D34" i="2"/>
  <c r="B35" i="2"/>
  <c r="C35" i="2"/>
  <c r="D35" i="2"/>
  <c r="B36" i="2"/>
  <c r="C36" i="2"/>
  <c r="D36" i="2"/>
  <c r="B37" i="2"/>
  <c r="C37" i="2"/>
  <c r="D37" i="2"/>
  <c r="B38" i="2"/>
  <c r="C38" i="2"/>
  <c r="D38" i="2"/>
  <c r="B39" i="2"/>
  <c r="C39" i="2"/>
  <c r="D39" i="2"/>
  <c r="B40" i="2"/>
  <c r="B41" i="2"/>
  <c r="C52" i="2"/>
  <c r="C49" i="2"/>
  <c r="C51" i="2"/>
  <c r="C90" i="2"/>
  <c r="C91" i="2"/>
  <c r="B57" i="2"/>
  <c r="B58" i="2"/>
  <c r="B59" i="2"/>
  <c r="B62" i="2"/>
  <c r="J63" i="2"/>
  <c r="B64" i="2"/>
  <c r="B65" i="2"/>
  <c r="B67" i="2"/>
  <c r="B68" i="2"/>
  <c r="B69" i="2"/>
  <c r="B71" i="2"/>
  <c r="D91" i="2"/>
  <c r="D90" i="2"/>
  <c r="C75" i="2"/>
  <c r="C58" i="2"/>
  <c r="D58" i="2"/>
  <c r="E58" i="2"/>
  <c r="F58" i="2"/>
  <c r="C76" i="2"/>
  <c r="C77" i="2"/>
  <c r="B79" i="2"/>
  <c r="C64" i="2"/>
  <c r="D64" i="2"/>
  <c r="E64" i="2"/>
  <c r="F64" i="2"/>
  <c r="C65" i="2"/>
  <c r="D65" i="2"/>
  <c r="E65" i="2"/>
  <c r="F65" i="2"/>
  <c r="C67" i="2"/>
  <c r="D67" i="2"/>
  <c r="E67" i="2"/>
  <c r="F67" i="2"/>
  <c r="B80" i="2"/>
  <c r="B81" i="2"/>
  <c r="B83" i="2"/>
  <c r="B84" i="2"/>
  <c r="D85" i="2"/>
  <c r="F62" i="2"/>
  <c r="E62" i="2"/>
  <c r="D62" i="2"/>
  <c r="C62" i="2"/>
  <c r="D57" i="3"/>
  <c r="E57" i="3"/>
  <c r="C57" i="2"/>
  <c r="C59" i="2"/>
  <c r="C68" i="2"/>
  <c r="C53" i="2"/>
  <c r="C50" i="2"/>
  <c r="F57" i="3"/>
  <c r="D57" i="2"/>
  <c r="E90" i="2"/>
  <c r="C69" i="2"/>
  <c r="C71" i="2"/>
  <c r="E91" i="2"/>
  <c r="E57" i="2"/>
  <c r="D59" i="2"/>
  <c r="D68" i="2"/>
  <c r="D69" i="2"/>
  <c r="D71" i="2"/>
  <c r="F91" i="2"/>
  <c r="F90" i="2"/>
  <c r="F57" i="2"/>
  <c r="F59" i="2"/>
  <c r="F68" i="2"/>
  <c r="E59" i="2"/>
  <c r="E68" i="2"/>
  <c r="F69" i="2"/>
  <c r="F71" i="2"/>
  <c r="H91" i="2"/>
  <c r="H90" i="2"/>
  <c r="G90" i="2"/>
  <c r="B93" i="2"/>
  <c r="B102" i="2"/>
  <c r="E69" i="2"/>
  <c r="E71" i="2"/>
  <c r="G91" i="2"/>
  <c r="B94" i="2"/>
  <c r="B95" i="2"/>
  <c r="C62" i="3"/>
  <c r="E59" i="3"/>
  <c r="C59" i="3"/>
  <c r="B59" i="3"/>
  <c r="B62" i="3"/>
  <c r="D59" i="3"/>
  <c r="C49" i="3"/>
  <c r="F59" i="3"/>
  <c r="J63" i="3"/>
  <c r="C50" i="3"/>
  <c r="D62" i="3"/>
  <c r="D64" i="3"/>
  <c r="D65" i="3"/>
  <c r="D67" i="3"/>
  <c r="D68" i="3"/>
  <c r="E62" i="3"/>
  <c r="E64" i="3"/>
  <c r="E65" i="3"/>
  <c r="E67" i="3"/>
  <c r="E68" i="3"/>
  <c r="G90" i="3"/>
  <c r="F62" i="3"/>
  <c r="F64" i="3"/>
  <c r="F65" i="3"/>
  <c r="F67" i="3"/>
  <c r="F68" i="3"/>
  <c r="B79" i="3"/>
  <c r="B64" i="3"/>
  <c r="C64" i="3"/>
  <c r="B65" i="3"/>
  <c r="C65" i="3"/>
  <c r="B67" i="3"/>
  <c r="C67" i="3"/>
  <c r="B80" i="3"/>
  <c r="B81" i="3"/>
  <c r="B83" i="3"/>
  <c r="H90" i="3"/>
  <c r="C68" i="3"/>
  <c r="B68" i="3"/>
  <c r="C51" i="3"/>
  <c r="D90" i="3"/>
  <c r="B69" i="3"/>
  <c r="B71" i="3"/>
  <c r="D91" i="3"/>
  <c r="F69" i="3"/>
  <c r="F71" i="3"/>
  <c r="E90" i="3"/>
  <c r="C69" i="3"/>
  <c r="C71" i="3"/>
  <c r="E91" i="3"/>
  <c r="E69" i="3"/>
  <c r="E71" i="3"/>
  <c r="G91" i="3"/>
  <c r="F90" i="3"/>
  <c r="D69" i="3"/>
  <c r="D71" i="3"/>
  <c r="F91" i="3"/>
  <c r="C90" i="3"/>
  <c r="C91" i="3"/>
  <c r="C53" i="3"/>
  <c r="B93" i="3"/>
  <c r="B84" i="3"/>
  <c r="D85" i="3"/>
  <c r="H91" i="3"/>
  <c r="B102" i="3"/>
  <c r="B95" i="3"/>
  <c r="B94" i="3"/>
</calcChain>
</file>

<file path=xl/comments1.xml><?xml version="1.0" encoding="utf-8"?>
<comments xmlns="http://schemas.openxmlformats.org/spreadsheetml/2006/main">
  <authors>
    <author>Author</author>
  </authors>
  <commentList>
    <comment ref="B96" authorId="0" shapeId="0">
      <text>
        <r>
          <rPr>
            <sz val="9"/>
            <color indexed="81"/>
            <rFont val="Tahoma"/>
            <family val="2"/>
          </rPr>
          <t>New assumption to enable calculation of NPV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96" authorId="0" shapeId="0">
      <text>
        <r>
          <rPr>
            <sz val="9"/>
            <color indexed="81"/>
            <rFont val="Tahoma"/>
            <family val="2"/>
          </rPr>
          <t>New assumption to enable calculation of NPV</t>
        </r>
      </text>
    </comment>
  </commentList>
</comments>
</file>

<file path=xl/sharedStrings.xml><?xml version="1.0" encoding="utf-8"?>
<sst xmlns="http://schemas.openxmlformats.org/spreadsheetml/2006/main" count="184" uniqueCount="82">
  <si>
    <t>Permanent Financing</t>
  </si>
  <si>
    <t>Loan Fee</t>
  </si>
  <si>
    <t>Loan Term</t>
  </si>
  <si>
    <t>Hard Costs</t>
  </si>
  <si>
    <t>Interest Rate</t>
  </si>
  <si>
    <t>Payments per Year</t>
  </si>
  <si>
    <t>Construction Loan</t>
  </si>
  <si>
    <t>Term</t>
  </si>
  <si>
    <t>Tax Considerations</t>
  </si>
  <si>
    <t>Marginal Tax Rate</t>
  </si>
  <si>
    <t>Capital Gains Rate</t>
  </si>
  <si>
    <t>Depreciation</t>
  </si>
  <si>
    <t>Capital Improvements</t>
  </si>
  <si>
    <t>Tenant Improvements</t>
  </si>
  <si>
    <t>End of Month</t>
  </si>
  <si>
    <t>Project Costs</t>
  </si>
  <si>
    <t>Interest</t>
  </si>
  <si>
    <t>Ending Balance</t>
  </si>
  <si>
    <t>Mortgage Balance</t>
  </si>
  <si>
    <t>Year</t>
  </si>
  <si>
    <t xml:space="preserve">Site Acq. and Closing </t>
  </si>
  <si>
    <t>Permanent Loan Fee</t>
  </si>
  <si>
    <t xml:space="preserve">Total Equity Needed </t>
  </si>
  <si>
    <t>Net Operating Income</t>
  </si>
  <si>
    <r>
      <t>Less</t>
    </r>
    <r>
      <rPr>
        <sz val="10"/>
        <rFont val="Arial"/>
        <family val="2"/>
      </rPr>
      <t>:  Debt Service</t>
    </r>
  </si>
  <si>
    <t>Before-Tax Cash Flow</t>
  </si>
  <si>
    <t>Less:</t>
  </si>
  <si>
    <t xml:space="preserve">         Interest</t>
  </si>
  <si>
    <t xml:space="preserve">         Depreciation</t>
  </si>
  <si>
    <t xml:space="preserve">          Amortization:</t>
  </si>
  <si>
    <t xml:space="preserve">              Perm Loan Fee</t>
  </si>
  <si>
    <t>Taxable Income</t>
  </si>
  <si>
    <t>Taxes</t>
  </si>
  <si>
    <t>After-Tax Cash Flow</t>
  </si>
  <si>
    <t>Before-tax Cash Flow</t>
  </si>
  <si>
    <t>Accum Dep &amp; Amort</t>
  </si>
  <si>
    <t>Adjusted Basis</t>
  </si>
  <si>
    <t>Capital Gain</t>
  </si>
  <si>
    <t>Tax from Sale</t>
  </si>
  <si>
    <t>After-Tax Cash Flow from Sale</t>
  </si>
  <si>
    <t>Hard Cost</t>
  </si>
  <si>
    <t>Initial rent</t>
  </si>
  <si>
    <t>GLA</t>
  </si>
  <si>
    <t>Rental growth rate</t>
  </si>
  <si>
    <t>year</t>
  </si>
  <si>
    <t>% drawn last 6 months</t>
  </si>
  <si>
    <t>% drawn first 6 months</t>
  </si>
  <si>
    <t>Total draw</t>
  </si>
  <si>
    <t>years - Straight line</t>
  </si>
  <si>
    <t>Box A: Data Input Box:</t>
  </si>
  <si>
    <t xml:space="preserve">Box B: CONSTRUCTION LOAN DRAWS &amp; REPAYMENT: </t>
  </si>
  <si>
    <t xml:space="preserve">              Capital Imprvement</t>
  </si>
  <si>
    <t xml:space="preserve">              Tenant Imprvement</t>
  </si>
  <si>
    <t>Total Cash Outflow</t>
  </si>
  <si>
    <t>Selling price when lease expires</t>
  </si>
  <si>
    <t>Sale Price (received by you, the developer)</t>
  </si>
  <si>
    <t>Original Cost Basis (total project cost)</t>
  </si>
  <si>
    <t xml:space="preserve"> Box C: Cash Flows during Construction</t>
  </si>
  <si>
    <t>Box E: AFTER-TAX CASH FLOW FROM SALE</t>
  </si>
  <si>
    <t>Box F: BEFORE and AFTER-TAX CASH FLOW SUMMARY</t>
  </si>
  <si>
    <t>Construction loan Interest</t>
  </si>
  <si>
    <t>Soft Cost (excluding construction interest and loan fees)</t>
  </si>
  <si>
    <t>Total construction interest</t>
  </si>
  <si>
    <t>of total depreciable cost</t>
  </si>
  <si>
    <t>Land Cost</t>
  </si>
  <si>
    <t>Box D: Summary of  Operating Cash Flows and Depreciation Schedule</t>
  </si>
  <si>
    <t>&lt;&lt; operation starts from year 2</t>
  </si>
  <si>
    <t>Less:  take out loan</t>
  </si>
  <si>
    <t>The Final Balance of Construction Loan</t>
  </si>
  <si>
    <t>&lt;&lt;This is also going to be your permanent take out loan amount</t>
  </si>
  <si>
    <t>&lt;&lt;Debt service is  the total annual mortgage payment</t>
  </si>
  <si>
    <t>After Tax NPV</t>
  </si>
  <si>
    <t>Before Tax IRR</t>
  </si>
  <si>
    <t>After Tax IRR</t>
  </si>
  <si>
    <t>&lt;&lt;Total project cost= Land cost+ Soft cost+ Hard cost+ loan fees+construction interest (for this test)</t>
  </si>
  <si>
    <t>years, interest only loan</t>
  </si>
  <si>
    <t>Please perform your data table analysis in the area below this row. For question 9, please open a new tab.</t>
  </si>
  <si>
    <t>Soft Costs*(exclude construction interest &amp; loan fees)</t>
  </si>
  <si>
    <t>&lt;&lt;Depreciable cost=</t>
  </si>
  <si>
    <t>Discount Rate Assumption</t>
  </si>
  <si>
    <t>Rental Growth Rates</t>
  </si>
  <si>
    <t>Sensitivity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</si>
</sst>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  <numFmt numFmtId="167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2" fillId="2" borderId="3" xfId="0" applyFont="1" applyFill="1" applyBorder="1"/>
    <xf numFmtId="0" fontId="3" fillId="0" borderId="7" xfId="0" applyFont="1" applyBorder="1"/>
    <xf numFmtId="0" fontId="0" fillId="0" borderId="7" xfId="0" applyBorder="1"/>
    <xf numFmtId="37" fontId="0" fillId="0" borderId="0" xfId="0" applyNumberFormat="1" applyBorder="1"/>
    <xf numFmtId="0" fontId="2" fillId="2" borderId="9" xfId="0" applyFont="1" applyFill="1" applyBorder="1" applyAlignment="1">
      <alignment horizontal="center"/>
    </xf>
    <xf numFmtId="37" fontId="0" fillId="0" borderId="7" xfId="0" applyNumberFormat="1" applyBorder="1"/>
    <xf numFmtId="0" fontId="4" fillId="0" borderId="4" xfId="0" applyFont="1" applyBorder="1"/>
    <xf numFmtId="0" fontId="5" fillId="0" borderId="6" xfId="0" applyFont="1" applyBorder="1"/>
    <xf numFmtId="164" fontId="5" fillId="0" borderId="11" xfId="1" applyNumberFormat="1" applyFont="1" applyBorder="1"/>
    <xf numFmtId="164" fontId="5" fillId="0" borderId="7" xfId="1" applyNumberFormat="1" applyFont="1" applyBorder="1"/>
    <xf numFmtId="0" fontId="0" fillId="0" borderId="8" xfId="0" applyBorder="1"/>
    <xf numFmtId="0" fontId="5" fillId="0" borderId="4" xfId="0" applyFont="1" applyBorder="1"/>
    <xf numFmtId="0" fontId="5" fillId="0" borderId="5" xfId="0" applyFont="1" applyBorder="1"/>
    <xf numFmtId="49" fontId="3" fillId="0" borderId="4" xfId="0" applyNumberFormat="1" applyFont="1" applyBorder="1" applyAlignment="1">
      <alignment horizontal="left"/>
    </xf>
    <xf numFmtId="38" fontId="3" fillId="0" borderId="0" xfId="0" applyNumberFormat="1" applyFont="1" applyBorder="1"/>
    <xf numFmtId="38" fontId="3" fillId="0" borderId="0" xfId="0" applyNumberFormat="1" applyFont="1" applyBorder="1" applyProtection="1"/>
    <xf numFmtId="38" fontId="3" fillId="0" borderId="10" xfId="0" applyNumberFormat="1" applyFont="1" applyBorder="1" applyProtection="1"/>
    <xf numFmtId="49" fontId="3" fillId="0" borderId="4" xfId="0" applyNumberFormat="1" applyFont="1" applyBorder="1"/>
    <xf numFmtId="38" fontId="3" fillId="0" borderId="5" xfId="0" applyNumberFormat="1" applyFont="1" applyBorder="1" applyProtection="1"/>
    <xf numFmtId="38" fontId="5" fillId="0" borderId="5" xfId="0" applyNumberFormat="1" applyFont="1" applyBorder="1"/>
    <xf numFmtId="38" fontId="3" fillId="0" borderId="5" xfId="0" applyNumberFormat="1" applyFont="1" applyBorder="1"/>
    <xf numFmtId="38" fontId="3" fillId="0" borderId="5" xfId="0" applyNumberFormat="1" applyFont="1" applyBorder="1" applyAlignment="1" applyProtection="1">
      <alignment horizontal="center"/>
    </xf>
    <xf numFmtId="10" fontId="2" fillId="4" borderId="9" xfId="0" applyNumberFormat="1" applyFont="1" applyFill="1" applyBorder="1"/>
    <xf numFmtId="37" fontId="3" fillId="5" borderId="0" xfId="0" applyNumberFormat="1" applyFont="1" applyFill="1" applyBorder="1"/>
    <xf numFmtId="10" fontId="3" fillId="5" borderId="0" xfId="2" applyNumberFormat="1" applyFont="1" applyFill="1" applyBorder="1"/>
    <xf numFmtId="10" fontId="3" fillId="5" borderId="0" xfId="0" applyNumberFormat="1" applyFont="1" applyFill="1" applyBorder="1"/>
    <xf numFmtId="10" fontId="3" fillId="5" borderId="7" xfId="2" applyNumberFormat="1" applyFont="1" applyFill="1" applyBorder="1"/>
    <xf numFmtId="0" fontId="3" fillId="5" borderId="0" xfId="0" applyFont="1" applyFill="1" applyBorder="1"/>
    <xf numFmtId="0" fontId="3" fillId="0" borderId="0" xfId="0" applyFont="1" applyFill="1" applyBorder="1"/>
    <xf numFmtId="166" fontId="0" fillId="0" borderId="0" xfId="0" applyNumberFormat="1"/>
    <xf numFmtId="0" fontId="0" fillId="0" borderId="0" xfId="0" applyAlignment="1">
      <alignment horizontal="center"/>
    </xf>
    <xf numFmtId="0" fontId="9" fillId="7" borderId="0" xfId="0" applyFont="1" applyFill="1" applyBorder="1"/>
    <xf numFmtId="0" fontId="2" fillId="0" borderId="9" xfId="0" applyFont="1" applyFill="1" applyBorder="1" applyAlignment="1">
      <alignment horizontal="center"/>
    </xf>
    <xf numFmtId="4" fontId="0" fillId="0" borderId="0" xfId="0" applyNumberFormat="1"/>
    <xf numFmtId="10" fontId="3" fillId="0" borderId="0" xfId="2" applyNumberFormat="1" applyFont="1" applyFill="1" applyBorder="1"/>
    <xf numFmtId="6" fontId="3" fillId="0" borderId="0" xfId="0" applyNumberFormat="1" applyFont="1" applyFill="1" applyBorder="1" applyAlignment="1">
      <alignment horizontal="right"/>
    </xf>
    <xf numFmtId="1" fontId="3" fillId="0" borderId="0" xfId="2" applyNumberFormat="1" applyFont="1" applyFill="1" applyBorder="1"/>
    <xf numFmtId="39" fontId="3" fillId="0" borderId="0" xfId="0" applyNumberFormat="1" applyFont="1" applyFill="1" applyBorder="1"/>
    <xf numFmtId="9" fontId="3" fillId="0" borderId="0" xfId="2" applyFont="1" applyFill="1" applyBorder="1"/>
    <xf numFmtId="165" fontId="3" fillId="0" borderId="0" xfId="2" applyNumberFormat="1" applyFont="1" applyFill="1" applyBorder="1"/>
    <xf numFmtId="0" fontId="0" fillId="6" borderId="12" xfId="0" applyFill="1" applyBorder="1"/>
    <xf numFmtId="0" fontId="0" fillId="6" borderId="13" xfId="0" applyFill="1" applyBorder="1"/>
    <xf numFmtId="0" fontId="7" fillId="6" borderId="13" xfId="0" applyFont="1" applyFill="1" applyBorder="1" applyAlignment="1">
      <alignment horizontal="center"/>
    </xf>
    <xf numFmtId="0" fontId="0" fillId="6" borderId="14" xfId="0" applyFill="1" applyBorder="1"/>
    <xf numFmtId="0" fontId="0" fillId="0" borderId="15" xfId="0" applyBorder="1"/>
    <xf numFmtId="0" fontId="0" fillId="0" borderId="16" xfId="0" applyBorder="1"/>
    <xf numFmtId="166" fontId="0" fillId="0" borderId="0" xfId="0" applyNumberFormat="1" applyBorder="1"/>
    <xf numFmtId="166" fontId="0" fillId="0" borderId="16" xfId="0" applyNumberFormat="1" applyBorder="1"/>
    <xf numFmtId="0" fontId="0" fillId="0" borderId="17" xfId="0" applyBorder="1"/>
    <xf numFmtId="166" fontId="0" fillId="0" borderId="10" xfId="0" applyNumberFormat="1" applyBorder="1"/>
    <xf numFmtId="166" fontId="0" fillId="0" borderId="18" xfId="0" applyNumberFormat="1" applyBorder="1"/>
    <xf numFmtId="0" fontId="0" fillId="0" borderId="0" xfId="0" applyFill="1"/>
    <xf numFmtId="3" fontId="8" fillId="5" borderId="0" xfId="0" applyNumberFormat="1" applyFont="1" applyFill="1" applyBorder="1"/>
    <xf numFmtId="3" fontId="0" fillId="5" borderId="0" xfId="0" applyNumberFormat="1" applyFill="1" applyBorder="1"/>
    <xf numFmtId="165" fontId="0" fillId="5" borderId="0" xfId="0" applyNumberFormat="1" applyFill="1" applyBorder="1"/>
    <xf numFmtId="0" fontId="3" fillId="0" borderId="6" xfId="0" applyFont="1" applyBorder="1"/>
    <xf numFmtId="10" fontId="3" fillId="0" borderId="7" xfId="2" applyNumberFormat="1" applyFont="1" applyFill="1" applyBorder="1"/>
    <xf numFmtId="0" fontId="3" fillId="0" borderId="8" xfId="0" applyFont="1" applyBorder="1"/>
    <xf numFmtId="0" fontId="7" fillId="6" borderId="13" xfId="0" applyFont="1" applyFill="1" applyBorder="1"/>
    <xf numFmtId="4" fontId="0" fillId="0" borderId="0" xfId="0" applyNumberFormat="1" applyBorder="1"/>
    <xf numFmtId="4" fontId="0" fillId="0" borderId="16" xfId="0" applyNumberFormat="1" applyBorder="1"/>
    <xf numFmtId="0" fontId="4" fillId="0" borderId="15" xfId="0" applyFont="1" applyBorder="1"/>
    <xf numFmtId="0" fontId="5" fillId="0" borderId="15" xfId="0" applyFont="1" applyBorder="1"/>
    <xf numFmtId="0" fontId="6" fillId="0" borderId="17" xfId="0" applyFont="1" applyBorder="1"/>
    <xf numFmtId="4" fontId="0" fillId="0" borderId="10" xfId="0" applyNumberFormat="1" applyBorder="1"/>
    <xf numFmtId="4" fontId="0" fillId="0" borderId="18" xfId="0" applyNumberFormat="1" applyBorder="1"/>
    <xf numFmtId="49" fontId="5" fillId="0" borderId="6" xfId="0" applyNumberFormat="1" applyFont="1" applyBorder="1" applyAlignment="1">
      <alignment horizontal="left"/>
    </xf>
    <xf numFmtId="38" fontId="5" fillId="0" borderId="7" xfId="0" applyNumberFormat="1" applyFont="1" applyBorder="1" applyProtection="1"/>
    <xf numFmtId="38" fontId="5" fillId="0" borderId="7" xfId="0" applyNumberFormat="1" applyFont="1" applyBorder="1"/>
    <xf numFmtId="38" fontId="5" fillId="0" borderId="19" xfId="0" applyNumberFormat="1" applyFont="1" applyBorder="1" applyAlignment="1" applyProtection="1">
      <alignment horizontal="center"/>
    </xf>
    <xf numFmtId="44" fontId="0" fillId="0" borderId="0" xfId="0" applyNumberFormat="1" applyBorder="1"/>
    <xf numFmtId="0" fontId="5" fillId="0" borderId="17" xfId="0" applyFont="1" applyBorder="1"/>
    <xf numFmtId="44" fontId="0" fillId="0" borderId="10" xfId="0" applyNumberFormat="1" applyBorder="1"/>
    <xf numFmtId="0" fontId="0" fillId="0" borderId="0" xfId="0" applyFont="1"/>
    <xf numFmtId="0" fontId="10" fillId="5" borderId="0" xfId="0" applyFont="1" applyFill="1" applyBorder="1"/>
    <xf numFmtId="0" fontId="0" fillId="5" borderId="0" xfId="0" applyFont="1" applyFill="1"/>
    <xf numFmtId="167" fontId="3" fillId="5" borderId="0" xfId="3" applyNumberFormat="1" applyFont="1" applyFill="1" applyBorder="1"/>
    <xf numFmtId="8" fontId="0" fillId="0" borderId="0" xfId="0" applyNumberFormat="1" applyBorder="1"/>
    <xf numFmtId="166" fontId="0" fillId="5" borderId="0" xfId="0" applyNumberFormat="1" applyFont="1" applyFill="1"/>
    <xf numFmtId="8" fontId="0" fillId="0" borderId="10" xfId="0" applyNumberFormat="1" applyBorder="1"/>
    <xf numFmtId="3" fontId="0" fillId="0" borderId="0" xfId="0" applyNumberFormat="1"/>
    <xf numFmtId="164" fontId="0" fillId="0" borderId="0" xfId="0" applyNumberFormat="1"/>
    <xf numFmtId="40" fontId="0" fillId="0" borderId="0" xfId="0" applyNumberFormat="1" applyBorder="1"/>
    <xf numFmtId="40" fontId="0" fillId="0" borderId="1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5" fillId="0" borderId="9" xfId="1" applyNumberFormat="1" applyFont="1" applyBorder="1"/>
    <xf numFmtId="0" fontId="5" fillId="0" borderId="0" xfId="0" applyFont="1" applyFill="1" applyBorder="1"/>
    <xf numFmtId="9" fontId="12" fillId="0" borderId="0" xfId="0" applyNumberFormat="1" applyFont="1"/>
    <xf numFmtId="10" fontId="7" fillId="0" borderId="0" xfId="0" applyNumberFormat="1" applyFont="1"/>
    <xf numFmtId="9" fontId="7" fillId="0" borderId="0" xfId="0" applyNumberFormat="1" applyFont="1"/>
    <xf numFmtId="0" fontId="10" fillId="0" borderId="0" xfId="0" applyFont="1" applyFill="1" applyBorder="1"/>
    <xf numFmtId="0" fontId="0" fillId="0" borderId="0" xfId="0" applyFont="1" applyFill="1"/>
    <xf numFmtId="9" fontId="11" fillId="8" borderId="12" xfId="0" applyNumberFormat="1" applyFont="1" applyFill="1" applyBorder="1"/>
    <xf numFmtId="9" fontId="11" fillId="8" borderId="13" xfId="0" applyNumberFormat="1" applyFont="1" applyFill="1" applyBorder="1"/>
    <xf numFmtId="9" fontId="11" fillId="8" borderId="14" xfId="0" applyNumberFormat="1" applyFont="1" applyFill="1" applyBorder="1"/>
    <xf numFmtId="10" fontId="0" fillId="0" borderId="17" xfId="2" applyNumberFormat="1" applyFont="1" applyBorder="1"/>
    <xf numFmtId="10" fontId="0" fillId="0" borderId="10" xfId="2" applyNumberFormat="1" applyFont="1" applyBorder="1"/>
    <xf numFmtId="10" fontId="0" fillId="0" borderId="18" xfId="2" applyNumberFormat="1" applyFont="1" applyBorder="1"/>
    <xf numFmtId="0" fontId="13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3"/>
  <sheetViews>
    <sheetView tabSelected="1" zoomScale="80" zoomScaleNormal="80" workbookViewId="0">
      <selection sqref="A1:F1"/>
    </sheetView>
  </sheetViews>
  <sheetFormatPr defaultRowHeight="15" x14ac:dyDescent="0.25"/>
  <cols>
    <col min="1" max="1" width="48.85546875" customWidth="1"/>
    <col min="2" max="2" width="20.42578125" customWidth="1"/>
    <col min="3" max="3" width="22.140625" customWidth="1"/>
    <col min="4" max="4" width="20.42578125" customWidth="1"/>
    <col min="5" max="5" width="12.7109375" customWidth="1"/>
    <col min="6" max="6" width="20.85546875" customWidth="1"/>
    <col min="7" max="7" width="30" customWidth="1"/>
    <col min="8" max="8" width="13.7109375" customWidth="1"/>
  </cols>
  <sheetData>
    <row r="1" spans="1:6" ht="15.75" thickBot="1" x14ac:dyDescent="0.3">
      <c r="A1" s="108" t="s">
        <v>49</v>
      </c>
      <c r="B1" s="109"/>
      <c r="C1" s="109"/>
      <c r="D1" s="109"/>
      <c r="E1" s="109"/>
      <c r="F1" s="110"/>
    </row>
    <row r="2" spans="1:6" ht="15.75" thickBot="1" x14ac:dyDescent="0.3">
      <c r="A2" s="6" t="s">
        <v>64</v>
      </c>
      <c r="B2" s="59">
        <v>120000</v>
      </c>
      <c r="C2" s="5"/>
      <c r="D2" s="7" t="s">
        <v>0</v>
      </c>
      <c r="E2" s="4"/>
      <c r="F2" s="5"/>
    </row>
    <row r="3" spans="1:6" x14ac:dyDescent="0.25">
      <c r="A3" s="6" t="s">
        <v>61</v>
      </c>
      <c r="B3" s="60">
        <v>50000</v>
      </c>
      <c r="C3" s="5"/>
      <c r="D3" s="4" t="s">
        <v>2</v>
      </c>
      <c r="E3" s="34">
        <v>20</v>
      </c>
      <c r="F3" s="5" t="s">
        <v>75</v>
      </c>
    </row>
    <row r="4" spans="1:6" x14ac:dyDescent="0.25">
      <c r="A4" s="6" t="s">
        <v>40</v>
      </c>
      <c r="B4" s="30">
        <v>400000</v>
      </c>
      <c r="C4" s="5"/>
      <c r="D4" s="4" t="s">
        <v>1</v>
      </c>
      <c r="E4" s="31">
        <v>0.02</v>
      </c>
      <c r="F4" s="3"/>
    </row>
    <row r="5" spans="1:6" x14ac:dyDescent="0.25">
      <c r="A5" s="6" t="s">
        <v>41</v>
      </c>
      <c r="B5" s="83">
        <v>80000</v>
      </c>
      <c r="C5" s="5"/>
      <c r="D5" s="4" t="s">
        <v>4</v>
      </c>
      <c r="E5" s="32">
        <v>0.06</v>
      </c>
      <c r="F5" s="5"/>
    </row>
    <row r="6" spans="1:6" x14ac:dyDescent="0.25">
      <c r="A6" s="6" t="s">
        <v>42</v>
      </c>
      <c r="B6" s="30">
        <v>10000</v>
      </c>
      <c r="C6" s="5"/>
      <c r="D6" s="4" t="s">
        <v>5</v>
      </c>
      <c r="E6" s="34">
        <v>1</v>
      </c>
      <c r="F6" s="5"/>
    </row>
    <row r="7" spans="1:6" x14ac:dyDescent="0.25">
      <c r="A7" s="6" t="s">
        <v>43</v>
      </c>
      <c r="B7" s="32">
        <v>0.03</v>
      </c>
      <c r="C7" s="5"/>
      <c r="D7" s="38" t="s">
        <v>6</v>
      </c>
      <c r="E7" s="35"/>
      <c r="F7" s="5"/>
    </row>
    <row r="8" spans="1:6" x14ac:dyDescent="0.25">
      <c r="A8" s="6" t="s">
        <v>54</v>
      </c>
      <c r="B8" s="30">
        <v>1200000</v>
      </c>
      <c r="C8" s="5"/>
      <c r="D8" s="4" t="s">
        <v>7</v>
      </c>
      <c r="E8" s="34">
        <v>1</v>
      </c>
      <c r="F8" s="5" t="s">
        <v>44</v>
      </c>
    </row>
    <row r="9" spans="1:6" x14ac:dyDescent="0.25">
      <c r="A9" s="6"/>
      <c r="B9" s="46"/>
      <c r="C9" s="5"/>
      <c r="D9" s="4" t="s">
        <v>46</v>
      </c>
      <c r="E9" s="31">
        <v>0.6</v>
      </c>
      <c r="F9" s="5"/>
    </row>
    <row r="10" spans="1:6" x14ac:dyDescent="0.25">
      <c r="A10" s="6"/>
      <c r="B10" s="42"/>
      <c r="C10" s="5"/>
      <c r="D10" s="4" t="s">
        <v>45</v>
      </c>
      <c r="E10" s="31">
        <v>0.4</v>
      </c>
      <c r="F10" s="5"/>
    </row>
    <row r="11" spans="1:6" x14ac:dyDescent="0.25">
      <c r="A11" s="6"/>
      <c r="B11" s="43"/>
      <c r="C11" s="5"/>
      <c r="D11" s="4" t="s">
        <v>4</v>
      </c>
      <c r="E11" s="31">
        <v>0.05</v>
      </c>
      <c r="F11" s="5"/>
    </row>
    <row r="12" spans="1:6" x14ac:dyDescent="0.25">
      <c r="A12" s="6"/>
      <c r="B12" s="41"/>
      <c r="C12" s="5"/>
      <c r="D12" s="35" t="s">
        <v>47</v>
      </c>
      <c r="E12" s="61">
        <v>440000</v>
      </c>
      <c r="F12" s="5"/>
    </row>
    <row r="13" spans="1:6" ht="15.75" thickBot="1" x14ac:dyDescent="0.3">
      <c r="A13" s="6"/>
      <c r="B13" s="44"/>
      <c r="C13" s="5"/>
      <c r="D13" s="4" t="s">
        <v>5</v>
      </c>
      <c r="E13" s="34">
        <v>1</v>
      </c>
      <c r="F13" s="5"/>
    </row>
    <row r="14" spans="1:6" ht="15.75" thickBot="1" x14ac:dyDescent="0.3">
      <c r="A14" s="6"/>
      <c r="B14" s="44"/>
      <c r="C14" s="5"/>
      <c r="D14" s="7" t="s">
        <v>8</v>
      </c>
      <c r="E14" s="35"/>
      <c r="F14" s="5"/>
    </row>
    <row r="15" spans="1:6" x14ac:dyDescent="0.25">
      <c r="A15" s="6"/>
      <c r="B15" s="45"/>
      <c r="C15" s="5"/>
      <c r="D15" s="4" t="s">
        <v>9</v>
      </c>
      <c r="E15" s="31">
        <v>0.35</v>
      </c>
      <c r="F15" s="5"/>
    </row>
    <row r="16" spans="1:6" ht="15.75" thickBot="1" x14ac:dyDescent="0.3">
      <c r="A16" s="6"/>
      <c r="B16" s="41"/>
      <c r="C16" s="5"/>
      <c r="D16" s="4" t="s">
        <v>10</v>
      </c>
      <c r="E16" s="31">
        <v>0.25</v>
      </c>
      <c r="F16" s="5"/>
    </row>
    <row r="17" spans="1:6" ht="15.75" thickBot="1" x14ac:dyDescent="0.3">
      <c r="A17" s="6"/>
      <c r="B17" s="44"/>
      <c r="C17" s="5"/>
      <c r="D17" s="7" t="s">
        <v>11</v>
      </c>
      <c r="E17" s="35"/>
      <c r="F17" s="5"/>
    </row>
    <row r="18" spans="1:6" x14ac:dyDescent="0.25">
      <c r="A18" s="6"/>
      <c r="B18" s="41"/>
      <c r="C18" s="5"/>
      <c r="D18" s="4" t="s">
        <v>12</v>
      </c>
      <c r="E18" s="34">
        <v>30</v>
      </c>
      <c r="F18" s="5" t="s">
        <v>48</v>
      </c>
    </row>
    <row r="19" spans="1:6" x14ac:dyDescent="0.25">
      <c r="A19" s="6"/>
      <c r="B19" s="44"/>
      <c r="C19" s="5"/>
      <c r="D19" s="4" t="s">
        <v>12</v>
      </c>
      <c r="E19" s="31">
        <v>0.85</v>
      </c>
      <c r="F19" s="5" t="s">
        <v>63</v>
      </c>
    </row>
    <row r="20" spans="1:6" x14ac:dyDescent="0.25">
      <c r="A20" s="6"/>
      <c r="B20" s="41"/>
      <c r="C20" s="5"/>
      <c r="D20" s="4" t="s">
        <v>13</v>
      </c>
      <c r="E20" s="34">
        <v>10</v>
      </c>
      <c r="F20" s="5" t="s">
        <v>48</v>
      </c>
    </row>
    <row r="21" spans="1:6" ht="15.75" thickBot="1" x14ac:dyDescent="0.3">
      <c r="A21" s="62"/>
      <c r="B21" s="63"/>
      <c r="C21" s="64"/>
      <c r="D21" s="8" t="s">
        <v>13</v>
      </c>
      <c r="E21" s="33">
        <v>0.15</v>
      </c>
      <c r="F21" s="64" t="s">
        <v>63</v>
      </c>
    </row>
    <row r="22" spans="1:6" x14ac:dyDescent="0.25">
      <c r="A22" s="6"/>
      <c r="B22" s="41"/>
      <c r="C22" s="4"/>
    </row>
    <row r="24" spans="1:6" x14ac:dyDescent="0.25">
      <c r="A24" s="37"/>
    </row>
    <row r="25" spans="1:6" x14ac:dyDescent="0.25">
      <c r="A25" s="47"/>
      <c r="B25" s="48"/>
      <c r="C25" s="49" t="s">
        <v>50</v>
      </c>
      <c r="D25" s="50"/>
      <c r="E25" s="58"/>
      <c r="F25" s="58"/>
    </row>
    <row r="26" spans="1:6" x14ac:dyDescent="0.25">
      <c r="A26" s="51" t="s">
        <v>14</v>
      </c>
      <c r="B26" s="2" t="s">
        <v>15</v>
      </c>
      <c r="C26" s="2" t="s">
        <v>16</v>
      </c>
      <c r="D26" s="52" t="s">
        <v>17</v>
      </c>
    </row>
    <row r="27" spans="1:6" x14ac:dyDescent="0.25">
      <c r="A27" s="51">
        <v>0</v>
      </c>
      <c r="B27" s="53">
        <v>0</v>
      </c>
      <c r="D27" s="54">
        <f>B27</f>
        <v>0</v>
      </c>
    </row>
    <row r="28" spans="1:6" x14ac:dyDescent="0.25">
      <c r="A28" s="51">
        <v>1</v>
      </c>
      <c r="B28" s="53">
        <f t="shared" ref="B28:B33" si="0">($E$12*$E$9)/6</f>
        <v>44000</v>
      </c>
      <c r="C28" s="84">
        <f>$E$11*D27</f>
        <v>0</v>
      </c>
      <c r="D28" s="54">
        <f>D27+B28+C28</f>
        <v>44000</v>
      </c>
    </row>
    <row r="29" spans="1:6" x14ac:dyDescent="0.25">
      <c r="A29" s="51">
        <v>2</v>
      </c>
      <c r="B29" s="53">
        <f t="shared" si="0"/>
        <v>44000</v>
      </c>
      <c r="C29" s="84">
        <f t="shared" ref="C29:C38" si="1">$E$11*D28</f>
        <v>2200</v>
      </c>
      <c r="D29" s="54">
        <f t="shared" ref="D29:D38" si="2">D28+B29+C29</f>
        <v>90200</v>
      </c>
    </row>
    <row r="30" spans="1:6" x14ac:dyDescent="0.25">
      <c r="A30" s="51">
        <v>3</v>
      </c>
      <c r="B30" s="53">
        <f t="shared" si="0"/>
        <v>44000</v>
      </c>
      <c r="C30" s="84">
        <f t="shared" si="1"/>
        <v>4510</v>
      </c>
      <c r="D30" s="54">
        <f t="shared" si="2"/>
        <v>138710</v>
      </c>
    </row>
    <row r="31" spans="1:6" x14ac:dyDescent="0.25">
      <c r="A31" s="51">
        <v>4</v>
      </c>
      <c r="B31" s="53">
        <f t="shared" si="0"/>
        <v>44000</v>
      </c>
      <c r="C31" s="84">
        <f t="shared" si="1"/>
        <v>6935.5</v>
      </c>
      <c r="D31" s="54">
        <f t="shared" si="2"/>
        <v>189645.5</v>
      </c>
    </row>
    <row r="32" spans="1:6" x14ac:dyDescent="0.25">
      <c r="A32" s="51">
        <v>5</v>
      </c>
      <c r="B32" s="53">
        <f t="shared" si="0"/>
        <v>44000</v>
      </c>
      <c r="C32" s="84">
        <f t="shared" si="1"/>
        <v>9482.2749999999996</v>
      </c>
      <c r="D32" s="54">
        <f t="shared" si="2"/>
        <v>243127.77499999999</v>
      </c>
    </row>
    <row r="33" spans="1:8" x14ac:dyDescent="0.25">
      <c r="A33" s="51">
        <v>6</v>
      </c>
      <c r="B33" s="53">
        <f t="shared" si="0"/>
        <v>44000</v>
      </c>
      <c r="C33" s="84">
        <f t="shared" si="1"/>
        <v>12156.38875</v>
      </c>
      <c r="D33" s="54">
        <f t="shared" si="2"/>
        <v>299284.16375000001</v>
      </c>
    </row>
    <row r="34" spans="1:8" x14ac:dyDescent="0.25">
      <c r="A34" s="51">
        <v>7</v>
      </c>
      <c r="B34" s="53">
        <f>($E$12*$E$10)/6</f>
        <v>29333.333333333332</v>
      </c>
      <c r="C34" s="84">
        <f t="shared" si="1"/>
        <v>14964.2081875</v>
      </c>
      <c r="D34" s="54">
        <f t="shared" si="2"/>
        <v>343581.70527083334</v>
      </c>
    </row>
    <row r="35" spans="1:8" x14ac:dyDescent="0.25">
      <c r="A35" s="51">
        <v>8</v>
      </c>
      <c r="B35" s="53">
        <f t="shared" ref="B35:B39" si="3">($E$12*$E$10)/6</f>
        <v>29333.333333333332</v>
      </c>
      <c r="C35" s="84">
        <f t="shared" si="1"/>
        <v>17179.085263541667</v>
      </c>
      <c r="D35" s="54">
        <f t="shared" si="2"/>
        <v>390094.12386770832</v>
      </c>
    </row>
    <row r="36" spans="1:8" x14ac:dyDescent="0.25">
      <c r="A36" s="51">
        <v>9</v>
      </c>
      <c r="B36" s="53">
        <f t="shared" si="3"/>
        <v>29333.333333333332</v>
      </c>
      <c r="C36" s="84">
        <f t="shared" si="1"/>
        <v>19504.706193385417</v>
      </c>
      <c r="D36" s="54">
        <f t="shared" si="2"/>
        <v>438932.16339442704</v>
      </c>
    </row>
    <row r="37" spans="1:8" x14ac:dyDescent="0.25">
      <c r="A37" s="51">
        <v>10</v>
      </c>
      <c r="B37" s="53">
        <f t="shared" si="3"/>
        <v>29333.333333333332</v>
      </c>
      <c r="C37" s="84">
        <f t="shared" si="1"/>
        <v>21946.608169721352</v>
      </c>
      <c r="D37" s="54">
        <f t="shared" si="2"/>
        <v>490212.10489748174</v>
      </c>
    </row>
    <row r="38" spans="1:8" x14ac:dyDescent="0.25">
      <c r="A38" s="51">
        <v>11</v>
      </c>
      <c r="B38" s="53">
        <f t="shared" si="3"/>
        <v>29333.333333333332</v>
      </c>
      <c r="C38" s="84">
        <f t="shared" si="1"/>
        <v>24510.605244874088</v>
      </c>
      <c r="D38" s="54">
        <f t="shared" si="2"/>
        <v>544056.04347568913</v>
      </c>
    </row>
    <row r="39" spans="1:8" x14ac:dyDescent="0.25">
      <c r="A39" s="55">
        <v>12</v>
      </c>
      <c r="B39" s="56">
        <f t="shared" si="3"/>
        <v>29333.333333333332</v>
      </c>
      <c r="C39" s="86">
        <f>$E$11*D38</f>
        <v>27202.802173784457</v>
      </c>
      <c r="D39" s="57">
        <f>D38+B39+C39</f>
        <v>600592.17898280697</v>
      </c>
    </row>
    <row r="40" spans="1:8" x14ac:dyDescent="0.25">
      <c r="A40" t="s">
        <v>62</v>
      </c>
      <c r="B40" s="85">
        <f>SUM(C28:C39)</f>
        <v>160592.17898280697</v>
      </c>
    </row>
    <row r="41" spans="1:8" x14ac:dyDescent="0.25">
      <c r="A41" t="s">
        <v>68</v>
      </c>
      <c r="B41" s="85">
        <f>D39-B40</f>
        <v>440000</v>
      </c>
      <c r="C41" t="s">
        <v>69</v>
      </c>
    </row>
    <row r="42" spans="1:8" ht="15.75" thickBot="1" x14ac:dyDescent="0.3">
      <c r="B42" s="36"/>
    </row>
    <row r="43" spans="1:8" ht="15.75" thickBot="1" x14ac:dyDescent="0.3">
      <c r="A43" s="111" t="s">
        <v>57</v>
      </c>
      <c r="B43" s="112"/>
      <c r="C43" s="112"/>
      <c r="D43" s="112"/>
      <c r="E43" s="112"/>
      <c r="F43" s="112"/>
      <c r="G43" s="112"/>
      <c r="H43" s="113"/>
    </row>
    <row r="44" spans="1:8" ht="15.75" thickBot="1" x14ac:dyDescent="0.3">
      <c r="A44" s="11" t="s">
        <v>57</v>
      </c>
      <c r="B44" s="11"/>
      <c r="C44" s="11"/>
      <c r="D44" s="39"/>
      <c r="E44" s="39"/>
      <c r="F44" s="39"/>
      <c r="G44" s="39"/>
      <c r="H44" s="39"/>
    </row>
    <row r="45" spans="1:8" x14ac:dyDescent="0.25">
      <c r="A45" s="1" t="s">
        <v>19</v>
      </c>
      <c r="B45" s="10">
        <v>0</v>
      </c>
      <c r="C45" s="2">
        <v>1</v>
      </c>
      <c r="D45" s="10"/>
      <c r="E45" s="2"/>
      <c r="F45" s="2"/>
      <c r="G45" s="2"/>
      <c r="H45" s="3"/>
    </row>
    <row r="46" spans="1:8" x14ac:dyDescent="0.25">
      <c r="A46" s="1" t="s">
        <v>20</v>
      </c>
      <c r="C46" s="87">
        <f>B2</f>
        <v>120000</v>
      </c>
      <c r="D46" s="10"/>
      <c r="E46" s="2"/>
      <c r="F46" s="2"/>
      <c r="G46" s="2"/>
      <c r="H46" s="3"/>
    </row>
    <row r="47" spans="1:8" x14ac:dyDescent="0.25">
      <c r="A47" s="1" t="s">
        <v>3</v>
      </c>
      <c r="C47" s="87">
        <f>B4</f>
        <v>400000</v>
      </c>
      <c r="D47" s="10"/>
      <c r="E47" s="2"/>
      <c r="F47" s="2"/>
      <c r="G47" s="2"/>
      <c r="H47" s="3"/>
    </row>
    <row r="48" spans="1:8" x14ac:dyDescent="0.25">
      <c r="A48" s="1" t="s">
        <v>77</v>
      </c>
      <c r="C48" s="87">
        <f>B3</f>
        <v>50000</v>
      </c>
      <c r="D48" s="10"/>
      <c r="E48" s="2"/>
      <c r="F48" s="2"/>
      <c r="G48" s="2"/>
      <c r="H48" s="3"/>
    </row>
    <row r="49" spans="1:10" ht="15.75" thickBot="1" x14ac:dyDescent="0.3">
      <c r="A49" s="1" t="s">
        <v>21</v>
      </c>
      <c r="B49" s="9"/>
      <c r="C49" s="12">
        <f>E4*C52</f>
        <v>8800</v>
      </c>
      <c r="D49" s="10"/>
      <c r="E49" s="2"/>
      <c r="F49" s="2"/>
      <c r="G49" s="2"/>
      <c r="H49" s="3"/>
    </row>
    <row r="50" spans="1:10" x14ac:dyDescent="0.25">
      <c r="A50" s="1" t="s">
        <v>60</v>
      </c>
      <c r="B50" s="10"/>
      <c r="C50" s="10">
        <f>B40</f>
        <v>160592.17898280697</v>
      </c>
      <c r="D50" s="10"/>
      <c r="E50" s="2"/>
      <c r="F50" s="2"/>
      <c r="G50" s="2"/>
      <c r="H50" s="3"/>
    </row>
    <row r="51" spans="1:10" x14ac:dyDescent="0.25">
      <c r="A51" s="13" t="s">
        <v>53</v>
      </c>
      <c r="B51" s="2"/>
      <c r="C51" s="10">
        <f>SUM(C46:C49)</f>
        <v>578800</v>
      </c>
      <c r="D51" s="10"/>
      <c r="E51" s="2"/>
      <c r="F51" s="2"/>
      <c r="G51" s="2"/>
      <c r="H51" s="3"/>
    </row>
    <row r="52" spans="1:10" ht="15.75" thickBot="1" x14ac:dyDescent="0.3">
      <c r="A52" s="14" t="s">
        <v>67</v>
      </c>
      <c r="B52" s="15"/>
      <c r="C52" s="15">
        <f>B41</f>
        <v>440000</v>
      </c>
      <c r="D52" s="16"/>
      <c r="E52" s="9"/>
      <c r="F52" s="9"/>
      <c r="G52" s="9"/>
      <c r="H52" s="17"/>
    </row>
    <row r="53" spans="1:10" x14ac:dyDescent="0.25">
      <c r="A53" t="s">
        <v>22</v>
      </c>
      <c r="C53" s="88">
        <f>C51-C52</f>
        <v>138800</v>
      </c>
    </row>
    <row r="54" spans="1:10" x14ac:dyDescent="0.25">
      <c r="A54" s="47"/>
      <c r="B54" s="48"/>
      <c r="C54" s="65" t="s">
        <v>65</v>
      </c>
      <c r="D54" s="48"/>
      <c r="E54" s="48"/>
      <c r="F54" s="48"/>
      <c r="G54" s="50"/>
      <c r="H54" s="58"/>
    </row>
    <row r="55" spans="1:10" x14ac:dyDescent="0.25">
      <c r="A55" s="51" t="s">
        <v>19</v>
      </c>
      <c r="B55" s="2">
        <v>2</v>
      </c>
      <c r="C55" s="2">
        <v>3</v>
      </c>
      <c r="D55" s="2">
        <v>4</v>
      </c>
      <c r="E55" s="2">
        <v>5</v>
      </c>
      <c r="F55" s="52">
        <v>6</v>
      </c>
      <c r="G55" t="s">
        <v>66</v>
      </c>
    </row>
    <row r="56" spans="1:10" x14ac:dyDescent="0.25">
      <c r="A56" s="51"/>
      <c r="B56" s="2"/>
      <c r="C56" s="2"/>
      <c r="D56" s="2"/>
      <c r="E56" s="2"/>
      <c r="F56" s="2"/>
      <c r="G56" s="52"/>
    </row>
    <row r="57" spans="1:10" x14ac:dyDescent="0.25">
      <c r="A57" s="51" t="s">
        <v>23</v>
      </c>
      <c r="B57" s="66">
        <f>B5</f>
        <v>80000</v>
      </c>
      <c r="C57" s="66">
        <f>B57*(1+$B$7)</f>
        <v>82400</v>
      </c>
      <c r="D57" s="66">
        <f t="shared" ref="D57:F57" si="4">C57*(1+$B$7)</f>
        <v>84872</v>
      </c>
      <c r="E57" s="66">
        <f t="shared" si="4"/>
        <v>87418.16</v>
      </c>
      <c r="F57" s="66">
        <f t="shared" si="4"/>
        <v>90040.704800000007</v>
      </c>
      <c r="G57" s="67"/>
      <c r="H57" s="40"/>
    </row>
    <row r="58" spans="1:10" x14ac:dyDescent="0.25">
      <c r="A58" s="68" t="s">
        <v>24</v>
      </c>
      <c r="B58" s="89">
        <f>PPMT($E$5,B55-1,$E$3,$C$52)</f>
        <v>-11961.205069814638</v>
      </c>
      <c r="C58" s="89">
        <f t="shared" ref="C58:F58" si="5">PPMT($E$5,1,$E$3,$C$52)</f>
        <v>-11961.205069814638</v>
      </c>
      <c r="D58" s="89">
        <f t="shared" si="5"/>
        <v>-11961.205069814638</v>
      </c>
      <c r="E58" s="89">
        <f t="shared" si="5"/>
        <v>-11961.205069814638</v>
      </c>
      <c r="F58" s="89">
        <f t="shared" si="5"/>
        <v>-11961.205069814638</v>
      </c>
      <c r="G58" s="67"/>
      <c r="H58" s="40" t="s">
        <v>70</v>
      </c>
    </row>
    <row r="59" spans="1:10" x14ac:dyDescent="0.25">
      <c r="A59" s="69" t="s">
        <v>25</v>
      </c>
      <c r="B59" s="66">
        <f>B57+B58</f>
        <v>68038.794930185366</v>
      </c>
      <c r="C59" s="66">
        <f t="shared" ref="C59:F59" si="6">C57+C58</f>
        <v>70438.794930185366</v>
      </c>
      <c r="D59" s="66">
        <f t="shared" si="6"/>
        <v>72910.794930185366</v>
      </c>
      <c r="E59" s="66">
        <f t="shared" si="6"/>
        <v>75456.954930185369</v>
      </c>
      <c r="F59" s="66">
        <f t="shared" si="6"/>
        <v>78079.499730185373</v>
      </c>
      <c r="G59" s="67"/>
      <c r="H59" s="40"/>
    </row>
    <row r="60" spans="1:10" x14ac:dyDescent="0.25">
      <c r="A60" s="51"/>
      <c r="B60" s="66"/>
      <c r="C60" s="66"/>
      <c r="D60" s="66"/>
      <c r="E60" s="66"/>
      <c r="F60" s="66"/>
      <c r="G60" s="67"/>
      <c r="H60" s="40"/>
    </row>
    <row r="61" spans="1:10" x14ac:dyDescent="0.25">
      <c r="A61" s="51" t="s">
        <v>26</v>
      </c>
      <c r="B61" s="66"/>
      <c r="C61" s="66"/>
      <c r="D61" s="66"/>
      <c r="E61" s="66"/>
      <c r="F61" s="66"/>
      <c r="G61" s="67"/>
      <c r="H61" s="40"/>
    </row>
    <row r="62" spans="1:10" x14ac:dyDescent="0.25">
      <c r="A62" s="51" t="s">
        <v>27</v>
      </c>
      <c r="B62" s="89">
        <f>-$E$5*C52</f>
        <v>-26400</v>
      </c>
      <c r="C62" s="89">
        <f>-$E$5*(C52+B58)</f>
        <v>-25682.32769581112</v>
      </c>
      <c r="D62" s="89">
        <f>-$E$5*($C$52+B58+C58)</f>
        <v>-24964.655391622244</v>
      </c>
      <c r="E62" s="89">
        <f>-$E$5*($C$52+B58+C58+D58)</f>
        <v>-24246.983087433364</v>
      </c>
      <c r="F62" s="89">
        <f>-$E$5*($C$52+B58+C58+D58+E58)</f>
        <v>-23529.310783244488</v>
      </c>
      <c r="G62" s="67"/>
      <c r="H62" s="40"/>
    </row>
    <row r="63" spans="1:10" x14ac:dyDescent="0.25">
      <c r="A63" s="51" t="s">
        <v>28</v>
      </c>
      <c r="B63" s="89"/>
      <c r="C63" s="89"/>
      <c r="D63" s="89"/>
      <c r="E63" s="89"/>
      <c r="F63" s="89"/>
      <c r="G63" s="67"/>
      <c r="H63" s="40" t="s">
        <v>78</v>
      </c>
      <c r="J63" s="87">
        <f>SUM(B3:B4,B40)</f>
        <v>610592.17898280697</v>
      </c>
    </row>
    <row r="64" spans="1:10" x14ac:dyDescent="0.25">
      <c r="A64" s="51" t="s">
        <v>51</v>
      </c>
      <c r="B64" s="89">
        <f>-($J$63*$E$19)/$E$18</f>
        <v>-17300.111737846197</v>
      </c>
      <c r="C64" s="89">
        <f t="shared" ref="C64:F64" si="7">-($J$63*$E$19)/$E$18</f>
        <v>-17300.111737846197</v>
      </c>
      <c r="D64" s="89">
        <f t="shared" si="7"/>
        <v>-17300.111737846197</v>
      </c>
      <c r="E64" s="89">
        <f t="shared" si="7"/>
        <v>-17300.111737846197</v>
      </c>
      <c r="F64" s="89">
        <f t="shared" si="7"/>
        <v>-17300.111737846197</v>
      </c>
      <c r="G64" s="67"/>
      <c r="H64" s="40"/>
    </row>
    <row r="65" spans="1:8" x14ac:dyDescent="0.25">
      <c r="A65" s="51" t="s">
        <v>52</v>
      </c>
      <c r="B65" s="89">
        <f>-($J$63*$E$21)/$E$20</f>
        <v>-9158.8826847421042</v>
      </c>
      <c r="C65" s="89">
        <f t="shared" ref="C65:F65" si="8">-($J$63*$E$21)/$E$20</f>
        <v>-9158.8826847421042</v>
      </c>
      <c r="D65" s="89">
        <f t="shared" si="8"/>
        <v>-9158.8826847421042</v>
      </c>
      <c r="E65" s="89">
        <f t="shared" si="8"/>
        <v>-9158.8826847421042</v>
      </c>
      <c r="F65" s="89">
        <f t="shared" si="8"/>
        <v>-9158.8826847421042</v>
      </c>
      <c r="G65" s="67"/>
      <c r="H65" s="40"/>
    </row>
    <row r="66" spans="1:8" x14ac:dyDescent="0.25">
      <c r="A66" s="51" t="s">
        <v>29</v>
      </c>
      <c r="B66" s="89"/>
      <c r="C66" s="89"/>
      <c r="D66" s="89"/>
      <c r="E66" s="89"/>
      <c r="F66" s="89"/>
      <c r="G66" s="67"/>
      <c r="H66" s="40"/>
    </row>
    <row r="67" spans="1:8" x14ac:dyDescent="0.25">
      <c r="A67" s="51" t="s">
        <v>30</v>
      </c>
      <c r="B67" s="89">
        <f>-$C$49/$E$3</f>
        <v>-440</v>
      </c>
      <c r="C67" s="89">
        <f t="shared" ref="C67:F67" si="9">-$C$49/$E$3</f>
        <v>-440</v>
      </c>
      <c r="D67" s="89">
        <f t="shared" si="9"/>
        <v>-440</v>
      </c>
      <c r="E67" s="89">
        <f t="shared" si="9"/>
        <v>-440</v>
      </c>
      <c r="F67" s="89">
        <f t="shared" si="9"/>
        <v>-440</v>
      </c>
      <c r="G67" s="67"/>
      <c r="H67" s="40"/>
    </row>
    <row r="68" spans="1:8" x14ac:dyDescent="0.25">
      <c r="A68" s="51" t="s">
        <v>31</v>
      </c>
      <c r="B68" s="89">
        <f>B59+SUM(B62:B67)</f>
        <v>14739.800507597072</v>
      </c>
      <c r="C68" s="89">
        <f t="shared" ref="C68:F68" si="10">C59+SUM(C62:C67)</f>
        <v>17857.472811785949</v>
      </c>
      <c r="D68" s="89">
        <f t="shared" si="10"/>
        <v>21047.145115974825</v>
      </c>
      <c r="E68" s="89">
        <f t="shared" si="10"/>
        <v>24310.977420163705</v>
      </c>
      <c r="F68" s="89">
        <f t="shared" si="10"/>
        <v>27651.194524352584</v>
      </c>
      <c r="G68" s="67"/>
      <c r="H68" s="40"/>
    </row>
    <row r="69" spans="1:8" x14ac:dyDescent="0.25">
      <c r="A69" s="51" t="s">
        <v>32</v>
      </c>
      <c r="B69" s="89">
        <f>-B68*$E$15</f>
        <v>-5158.9301776589746</v>
      </c>
      <c r="C69" s="89">
        <f t="shared" ref="C69:F69" si="11">-C68*$E$15</f>
        <v>-6250.1154841250818</v>
      </c>
      <c r="D69" s="89">
        <f t="shared" si="11"/>
        <v>-7366.500790591188</v>
      </c>
      <c r="E69" s="89">
        <f t="shared" si="11"/>
        <v>-8508.842097057297</v>
      </c>
      <c r="F69" s="89">
        <f t="shared" si="11"/>
        <v>-9677.9180835234038</v>
      </c>
      <c r="G69" s="67"/>
      <c r="H69" s="40"/>
    </row>
    <row r="70" spans="1:8" x14ac:dyDescent="0.25">
      <c r="A70" s="51"/>
      <c r="B70" s="89"/>
      <c r="C70" s="89"/>
      <c r="D70" s="89"/>
      <c r="E70" s="89"/>
      <c r="F70" s="89"/>
      <c r="G70" s="67"/>
      <c r="H70" s="40"/>
    </row>
    <row r="71" spans="1:8" x14ac:dyDescent="0.25">
      <c r="A71" s="70" t="s">
        <v>33</v>
      </c>
      <c r="B71" s="90">
        <f>B68-B69</f>
        <v>19898.730685256047</v>
      </c>
      <c r="C71" s="90">
        <f t="shared" ref="C71:F71" si="12">C68-C69</f>
        <v>24107.588295911031</v>
      </c>
      <c r="D71" s="90">
        <f t="shared" si="12"/>
        <v>28413.645906566013</v>
      </c>
      <c r="E71" s="90">
        <f t="shared" si="12"/>
        <v>32819.819517221003</v>
      </c>
      <c r="F71" s="90">
        <f t="shared" si="12"/>
        <v>37329.112607875984</v>
      </c>
      <c r="G71" s="72"/>
      <c r="H71" s="40"/>
    </row>
    <row r="73" spans="1:8" ht="15.75" thickBot="1" x14ac:dyDescent="0.3"/>
    <row r="74" spans="1:8" ht="15.75" thickBot="1" x14ac:dyDescent="0.3">
      <c r="A74" s="111" t="s">
        <v>58</v>
      </c>
      <c r="B74" s="112"/>
      <c r="C74" s="112"/>
      <c r="D74" s="113"/>
    </row>
    <row r="75" spans="1:8" x14ac:dyDescent="0.25">
      <c r="A75" s="20" t="s">
        <v>55</v>
      </c>
      <c r="B75" s="21"/>
      <c r="C75" s="22">
        <f>B8</f>
        <v>1200000</v>
      </c>
      <c r="D75" s="3"/>
    </row>
    <row r="76" spans="1:8" x14ac:dyDescent="0.25">
      <c r="A76" s="20" t="s">
        <v>18</v>
      </c>
      <c r="B76" s="22"/>
      <c r="C76" s="23">
        <f>C52+(SUM(B58:F58))</f>
        <v>380193.97465092683</v>
      </c>
      <c r="D76" s="3"/>
    </row>
    <row r="77" spans="1:8" x14ac:dyDescent="0.25">
      <c r="A77" s="20" t="s">
        <v>34</v>
      </c>
      <c r="B77" s="22"/>
      <c r="C77" s="22">
        <f>C75-C76</f>
        <v>819806.02534907311</v>
      </c>
      <c r="D77" s="3"/>
    </row>
    <row r="78" spans="1:8" x14ac:dyDescent="0.25">
      <c r="A78" s="24"/>
      <c r="B78" s="22"/>
      <c r="C78" s="22"/>
      <c r="D78" s="25"/>
    </row>
    <row r="79" spans="1:8" x14ac:dyDescent="0.25">
      <c r="A79" s="20" t="s">
        <v>56</v>
      </c>
      <c r="B79" s="22">
        <f>B2+B3+B4+C49+B40</f>
        <v>739392.17898280697</v>
      </c>
      <c r="C79" s="22" t="s">
        <v>74</v>
      </c>
      <c r="D79" s="19"/>
    </row>
    <row r="80" spans="1:8" x14ac:dyDescent="0.25">
      <c r="A80" s="20" t="s">
        <v>35</v>
      </c>
      <c r="B80" s="23">
        <f>SUM(B64:F67)</f>
        <v>-134494.9721129415</v>
      </c>
      <c r="C80" s="22"/>
      <c r="D80" s="26"/>
    </row>
    <row r="81" spans="1:8" x14ac:dyDescent="0.25">
      <c r="A81" s="20" t="s">
        <v>36</v>
      </c>
      <c r="B81" s="21">
        <f>B79+B80</f>
        <v>604897.20686986553</v>
      </c>
      <c r="C81" s="22"/>
      <c r="D81" s="27"/>
    </row>
    <row r="82" spans="1:8" x14ac:dyDescent="0.25">
      <c r="A82" s="24"/>
      <c r="B82" s="22"/>
      <c r="C82" s="22"/>
      <c r="D82" s="27"/>
    </row>
    <row r="83" spans="1:8" x14ac:dyDescent="0.25">
      <c r="A83" s="20" t="s">
        <v>37</v>
      </c>
      <c r="B83" s="21">
        <f>C77-B81</f>
        <v>214908.81847920758</v>
      </c>
      <c r="C83" s="22"/>
      <c r="D83" s="27"/>
      <c r="E83" s="36"/>
      <c r="F83" s="36"/>
      <c r="G83" s="36"/>
      <c r="H83" s="36"/>
    </row>
    <row r="84" spans="1:8" x14ac:dyDescent="0.25">
      <c r="A84" s="20" t="s">
        <v>38</v>
      </c>
      <c r="B84" s="22">
        <f>-B83*E16</f>
        <v>-53727.204619801894</v>
      </c>
      <c r="C84" s="21"/>
      <c r="D84" s="28"/>
      <c r="E84" s="36"/>
      <c r="F84" s="36"/>
      <c r="G84" s="36"/>
      <c r="H84" s="36"/>
    </row>
    <row r="85" spans="1:8" ht="15.75" thickBot="1" x14ac:dyDescent="0.3">
      <c r="A85" s="73" t="s">
        <v>39</v>
      </c>
      <c r="B85" s="74"/>
      <c r="C85" s="75"/>
      <c r="D85" s="76">
        <f>B83+B84</f>
        <v>161181.61385940568</v>
      </c>
    </row>
    <row r="87" spans="1:8" x14ac:dyDescent="0.25">
      <c r="D87" s="36"/>
      <c r="E87" s="36"/>
      <c r="F87" s="36"/>
      <c r="G87" s="36"/>
      <c r="H87" s="36"/>
    </row>
    <row r="88" spans="1:8" x14ac:dyDescent="0.25">
      <c r="A88" s="47"/>
      <c r="B88" s="48"/>
      <c r="C88" s="65" t="s">
        <v>59</v>
      </c>
      <c r="D88" s="48"/>
      <c r="E88" s="48"/>
      <c r="F88" s="48"/>
      <c r="G88" s="48"/>
      <c r="H88" s="50"/>
    </row>
    <row r="89" spans="1:8" x14ac:dyDescent="0.25">
      <c r="A89" s="91" t="s">
        <v>19</v>
      </c>
      <c r="B89" s="92">
        <v>0</v>
      </c>
      <c r="C89" s="92">
        <v>1</v>
      </c>
      <c r="D89" s="92">
        <v>2</v>
      </c>
      <c r="E89" s="92">
        <v>3</v>
      </c>
      <c r="F89" s="92">
        <v>4</v>
      </c>
      <c r="G89" s="92">
        <v>5</v>
      </c>
      <c r="H89" s="93">
        <v>6</v>
      </c>
    </row>
    <row r="90" spans="1:8" x14ac:dyDescent="0.25">
      <c r="A90" s="69" t="s">
        <v>25</v>
      </c>
      <c r="B90" s="77">
        <v>0</v>
      </c>
      <c r="C90" s="77">
        <f>-C51</f>
        <v>-578800</v>
      </c>
      <c r="D90" s="66">
        <f>B68</f>
        <v>14739.800507597072</v>
      </c>
      <c r="E90" s="66">
        <f t="shared" ref="E90:G90" si="13">C68</f>
        <v>17857.472811785949</v>
      </c>
      <c r="F90" s="66">
        <f t="shared" si="13"/>
        <v>21047.145115974825</v>
      </c>
      <c r="G90" s="66">
        <f t="shared" si="13"/>
        <v>24310.977420163705</v>
      </c>
      <c r="H90" s="67">
        <f>F68+B83</f>
        <v>242560.01300356016</v>
      </c>
    </row>
    <row r="91" spans="1:8" x14ac:dyDescent="0.25">
      <c r="A91" s="78" t="s">
        <v>33</v>
      </c>
      <c r="B91" s="79">
        <v>0</v>
      </c>
      <c r="C91" s="79">
        <f>C90</f>
        <v>-578800</v>
      </c>
      <c r="D91" s="71">
        <f>B71</f>
        <v>19898.730685256047</v>
      </c>
      <c r="E91" s="71">
        <f t="shared" ref="E91:G91" si="14">C71</f>
        <v>24107.588295911031</v>
      </c>
      <c r="F91" s="71">
        <f t="shared" si="14"/>
        <v>28413.645906566013</v>
      </c>
      <c r="G91" s="71">
        <f t="shared" si="14"/>
        <v>32819.819517221003</v>
      </c>
      <c r="H91" s="72">
        <f>F71+D85</f>
        <v>198510.72646728167</v>
      </c>
    </row>
    <row r="92" spans="1:8" ht="15.75" thickBot="1" x14ac:dyDescent="0.3">
      <c r="C92" s="36"/>
    </row>
    <row r="93" spans="1:8" ht="15.75" thickBot="1" x14ac:dyDescent="0.3">
      <c r="A93" s="18" t="s">
        <v>72</v>
      </c>
      <c r="B93" s="29">
        <f>IRR(B90:H90)</f>
        <v>-0.12264772887596975</v>
      </c>
      <c r="D93" s="36"/>
      <c r="E93" s="36"/>
      <c r="F93" s="36"/>
      <c r="G93" s="36"/>
      <c r="H93" s="36"/>
    </row>
    <row r="94" spans="1:8" ht="15.75" thickBot="1" x14ac:dyDescent="0.3">
      <c r="A94" s="18" t="s">
        <v>73</v>
      </c>
      <c r="B94" s="29">
        <f>IRR(B91:H91)</f>
        <v>-0.1387970412885835</v>
      </c>
      <c r="D94" s="36"/>
      <c r="E94" s="36"/>
      <c r="F94" s="36"/>
      <c r="G94" s="36"/>
      <c r="H94" s="36"/>
    </row>
    <row r="95" spans="1:8" ht="15.75" thickBot="1" x14ac:dyDescent="0.3">
      <c r="A95" s="18" t="s">
        <v>71</v>
      </c>
      <c r="B95" s="94">
        <f>NPV(B96,B91:H91)</f>
        <v>-308895.12741417898</v>
      </c>
      <c r="D95" s="36"/>
      <c r="E95" s="36"/>
      <c r="F95" s="36"/>
      <c r="G95" s="36"/>
      <c r="H95" s="36"/>
    </row>
    <row r="96" spans="1:8" x14ac:dyDescent="0.25">
      <c r="A96" s="95" t="s">
        <v>79</v>
      </c>
      <c r="B96" s="96">
        <v>0.1</v>
      </c>
    </row>
    <row r="97" spans="1:8" x14ac:dyDescent="0.25">
      <c r="D97" s="36"/>
      <c r="E97" s="36"/>
      <c r="F97" s="36"/>
      <c r="G97" s="36"/>
      <c r="H97" s="36"/>
    </row>
    <row r="98" spans="1:8" s="80" customFormat="1" x14ac:dyDescent="0.25">
      <c r="A98" s="81" t="s">
        <v>76</v>
      </c>
      <c r="B98" s="82"/>
      <c r="C98" s="82"/>
      <c r="D98" s="82"/>
    </row>
    <row r="99" spans="1:8" s="100" customFormat="1" x14ac:dyDescent="0.25">
      <c r="A99" s="99"/>
    </row>
    <row r="100" spans="1:8" s="100" customFormat="1" ht="15.75" x14ac:dyDescent="0.25">
      <c r="A100" s="99"/>
      <c r="C100" s="107" t="s">
        <v>81</v>
      </c>
    </row>
    <row r="101" spans="1:8" x14ac:dyDescent="0.25">
      <c r="C101" s="114" t="s">
        <v>80</v>
      </c>
      <c r="D101" s="114"/>
      <c r="E101" s="114"/>
      <c r="F101" s="114"/>
      <c r="G101" s="114"/>
    </row>
    <row r="102" spans="1:8" x14ac:dyDescent="0.25">
      <c r="B102" s="97">
        <f>B93</f>
        <v>-0.12264772887596975</v>
      </c>
      <c r="C102" s="101">
        <v>0.01</v>
      </c>
      <c r="D102" s="102">
        <v>0.02</v>
      </c>
      <c r="E102" s="102">
        <v>0.03</v>
      </c>
      <c r="F102" s="102">
        <v>0.04</v>
      </c>
      <c r="G102" s="103">
        <v>0.05</v>
      </c>
    </row>
    <row r="103" spans="1:8" x14ac:dyDescent="0.25">
      <c r="B103" s="98">
        <v>0.1</v>
      </c>
      <c r="C103" s="104">
        <f t="dataTable" ref="C103:G103" dt2D="1" dtr="1" r1="B7" r2="B96"/>
        <v>-0.13216708798865895</v>
      </c>
      <c r="D103" s="105">
        <v>-0.12742514678742889</v>
      </c>
      <c r="E103" s="105">
        <v>-0.12264772887596975</v>
      </c>
      <c r="F103" s="105">
        <v>-0.11783601108870245</v>
      </c>
      <c r="G103" s="106">
        <v>-0.11299115886129141</v>
      </c>
    </row>
  </sheetData>
  <mergeCells count="4">
    <mergeCell ref="A1:F1"/>
    <mergeCell ref="A43:H43"/>
    <mergeCell ref="A74:D74"/>
    <mergeCell ref="C101:G101"/>
  </mergeCells>
  <pageMargins left="0.7" right="0.7" top="0.75" bottom="0.75" header="0.3" footer="0.3"/>
  <pageSetup orientation="portrait" r:id="rId1"/>
  <ignoredErrors>
    <ignoredError sqref="J63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3"/>
  <sheetViews>
    <sheetView zoomScale="80" zoomScaleNormal="80" workbookViewId="0">
      <selection activeCell="H100" sqref="H100"/>
    </sheetView>
  </sheetViews>
  <sheetFormatPr defaultRowHeight="15" x14ac:dyDescent="0.25"/>
  <cols>
    <col min="1" max="1" width="48.85546875" customWidth="1"/>
    <col min="2" max="2" width="20.42578125" customWidth="1"/>
    <col min="3" max="3" width="22.140625" customWidth="1"/>
    <col min="4" max="4" width="20.42578125" customWidth="1"/>
    <col min="5" max="5" width="12.7109375" customWidth="1"/>
    <col min="6" max="6" width="20.85546875" customWidth="1"/>
    <col min="7" max="7" width="30" customWidth="1"/>
    <col min="8" max="8" width="13.7109375" customWidth="1"/>
  </cols>
  <sheetData>
    <row r="1" spans="1:6" ht="15.75" thickBot="1" x14ac:dyDescent="0.3">
      <c r="A1" s="108" t="s">
        <v>49</v>
      </c>
      <c r="B1" s="109"/>
      <c r="C1" s="109"/>
      <c r="D1" s="109"/>
      <c r="E1" s="109"/>
      <c r="F1" s="110"/>
    </row>
    <row r="2" spans="1:6" ht="15.75" thickBot="1" x14ac:dyDescent="0.3">
      <c r="A2" s="6" t="s">
        <v>64</v>
      </c>
      <c r="B2" s="59">
        <v>120000</v>
      </c>
      <c r="C2" s="5"/>
      <c r="D2" s="7" t="s">
        <v>0</v>
      </c>
      <c r="E2" s="4"/>
      <c r="F2" s="5"/>
    </row>
    <row r="3" spans="1:6" x14ac:dyDescent="0.25">
      <c r="A3" s="6" t="s">
        <v>61</v>
      </c>
      <c r="B3" s="60">
        <v>50000</v>
      </c>
      <c r="C3" s="5"/>
      <c r="D3" s="4" t="s">
        <v>2</v>
      </c>
      <c r="E3" s="34">
        <v>20</v>
      </c>
      <c r="F3" s="5" t="s">
        <v>75</v>
      </c>
    </row>
    <row r="4" spans="1:6" x14ac:dyDescent="0.25">
      <c r="A4" s="6" t="s">
        <v>40</v>
      </c>
      <c r="B4" s="30">
        <v>400000</v>
      </c>
      <c r="C4" s="5"/>
      <c r="D4" s="4" t="s">
        <v>1</v>
      </c>
      <c r="E4" s="31">
        <v>0.02</v>
      </c>
      <c r="F4" s="3"/>
    </row>
    <row r="5" spans="1:6" x14ac:dyDescent="0.25">
      <c r="A5" s="6" t="s">
        <v>41</v>
      </c>
      <c r="B5" s="83">
        <v>60000</v>
      </c>
      <c r="C5" s="5"/>
      <c r="D5" s="4" t="s">
        <v>4</v>
      </c>
      <c r="E5" s="32">
        <v>0.06</v>
      </c>
      <c r="F5" s="5"/>
    </row>
    <row r="6" spans="1:6" x14ac:dyDescent="0.25">
      <c r="A6" s="6" t="s">
        <v>42</v>
      </c>
      <c r="B6" s="30">
        <v>10000</v>
      </c>
      <c r="C6" s="5"/>
      <c r="D6" s="4" t="s">
        <v>5</v>
      </c>
      <c r="E6" s="34">
        <v>1</v>
      </c>
      <c r="F6" s="5"/>
    </row>
    <row r="7" spans="1:6" x14ac:dyDescent="0.25">
      <c r="A7" s="6" t="s">
        <v>43</v>
      </c>
      <c r="B7" s="32">
        <v>2.5000000000000001E-2</v>
      </c>
      <c r="C7" s="5"/>
      <c r="D7" s="38" t="s">
        <v>6</v>
      </c>
      <c r="E7" s="35"/>
      <c r="F7" s="5"/>
    </row>
    <row r="8" spans="1:6" x14ac:dyDescent="0.25">
      <c r="A8" s="6" t="s">
        <v>54</v>
      </c>
      <c r="B8" s="30">
        <v>1000000</v>
      </c>
      <c r="C8" s="5"/>
      <c r="D8" s="4" t="s">
        <v>7</v>
      </c>
      <c r="E8" s="34">
        <v>1</v>
      </c>
      <c r="F8" s="5" t="s">
        <v>44</v>
      </c>
    </row>
    <row r="9" spans="1:6" x14ac:dyDescent="0.25">
      <c r="A9" s="6"/>
      <c r="B9" s="46"/>
      <c r="C9" s="5"/>
      <c r="D9" s="4" t="s">
        <v>46</v>
      </c>
      <c r="E9" s="31">
        <v>0.6</v>
      </c>
      <c r="F9" s="5"/>
    </row>
    <row r="10" spans="1:6" x14ac:dyDescent="0.25">
      <c r="A10" s="6"/>
      <c r="B10" s="42"/>
      <c r="C10" s="5"/>
      <c r="D10" s="4" t="s">
        <v>45</v>
      </c>
      <c r="E10" s="31">
        <v>0.4</v>
      </c>
      <c r="F10" s="5"/>
    </row>
    <row r="11" spans="1:6" x14ac:dyDescent="0.25">
      <c r="A11" s="6"/>
      <c r="B11" s="43"/>
      <c r="C11" s="5"/>
      <c r="D11" s="4" t="s">
        <v>4</v>
      </c>
      <c r="E11" s="31">
        <v>0.05</v>
      </c>
      <c r="F11" s="5"/>
    </row>
    <row r="12" spans="1:6" x14ac:dyDescent="0.25">
      <c r="A12" s="6"/>
      <c r="B12" s="41"/>
      <c r="C12" s="5"/>
      <c r="D12" s="35" t="s">
        <v>47</v>
      </c>
      <c r="E12" s="61">
        <v>440000</v>
      </c>
      <c r="F12" s="5"/>
    </row>
    <row r="13" spans="1:6" ht="15.75" thickBot="1" x14ac:dyDescent="0.3">
      <c r="A13" s="6"/>
      <c r="B13" s="44"/>
      <c r="C13" s="5"/>
      <c r="D13" s="4" t="s">
        <v>5</v>
      </c>
      <c r="E13" s="34">
        <v>1</v>
      </c>
      <c r="F13" s="5"/>
    </row>
    <row r="14" spans="1:6" ht="15.75" thickBot="1" x14ac:dyDescent="0.3">
      <c r="A14" s="6"/>
      <c r="B14" s="44"/>
      <c r="C14" s="5"/>
      <c r="D14" s="7" t="s">
        <v>8</v>
      </c>
      <c r="E14" s="35"/>
      <c r="F14" s="5"/>
    </row>
    <row r="15" spans="1:6" x14ac:dyDescent="0.25">
      <c r="A15" s="6"/>
      <c r="B15" s="45"/>
      <c r="C15" s="5"/>
      <c r="D15" s="4" t="s">
        <v>9</v>
      </c>
      <c r="E15" s="31">
        <v>0.35</v>
      </c>
      <c r="F15" s="5"/>
    </row>
    <row r="16" spans="1:6" ht="15.75" thickBot="1" x14ac:dyDescent="0.3">
      <c r="A16" s="6"/>
      <c r="B16" s="41"/>
      <c r="C16" s="5"/>
      <c r="D16" s="4" t="s">
        <v>10</v>
      </c>
      <c r="E16" s="31">
        <v>0.25</v>
      </c>
      <c r="F16" s="5"/>
    </row>
    <row r="17" spans="1:6" ht="15.75" thickBot="1" x14ac:dyDescent="0.3">
      <c r="A17" s="6"/>
      <c r="B17" s="44"/>
      <c r="C17" s="5"/>
      <c r="D17" s="7" t="s">
        <v>11</v>
      </c>
      <c r="E17" s="35"/>
      <c r="F17" s="5"/>
    </row>
    <row r="18" spans="1:6" x14ac:dyDescent="0.25">
      <c r="A18" s="6"/>
      <c r="B18" s="41"/>
      <c r="C18" s="5"/>
      <c r="D18" s="4" t="s">
        <v>12</v>
      </c>
      <c r="E18" s="34">
        <v>30</v>
      </c>
      <c r="F18" s="5" t="s">
        <v>48</v>
      </c>
    </row>
    <row r="19" spans="1:6" x14ac:dyDescent="0.25">
      <c r="A19" s="6"/>
      <c r="B19" s="44"/>
      <c r="C19" s="5"/>
      <c r="D19" s="4" t="s">
        <v>12</v>
      </c>
      <c r="E19" s="31">
        <v>0.85</v>
      </c>
      <c r="F19" s="5" t="s">
        <v>63</v>
      </c>
    </row>
    <row r="20" spans="1:6" x14ac:dyDescent="0.25">
      <c r="A20" s="6"/>
      <c r="B20" s="41"/>
      <c r="C20" s="5"/>
      <c r="D20" s="4" t="s">
        <v>13</v>
      </c>
      <c r="E20" s="34">
        <v>10</v>
      </c>
      <c r="F20" s="5" t="s">
        <v>48</v>
      </c>
    </row>
    <row r="21" spans="1:6" ht="15.75" thickBot="1" x14ac:dyDescent="0.3">
      <c r="A21" s="62"/>
      <c r="B21" s="63"/>
      <c r="C21" s="64"/>
      <c r="D21" s="8" t="s">
        <v>13</v>
      </c>
      <c r="E21" s="33">
        <v>0.15</v>
      </c>
      <c r="F21" s="64" t="s">
        <v>63</v>
      </c>
    </row>
    <row r="22" spans="1:6" x14ac:dyDescent="0.25">
      <c r="A22" s="6"/>
      <c r="B22" s="41"/>
      <c r="C22" s="4"/>
    </row>
    <row r="24" spans="1:6" x14ac:dyDescent="0.25">
      <c r="A24" s="37"/>
    </row>
    <row r="25" spans="1:6" x14ac:dyDescent="0.25">
      <c r="A25" s="47"/>
      <c r="B25" s="48"/>
      <c r="C25" s="49" t="s">
        <v>50</v>
      </c>
      <c r="D25" s="50"/>
      <c r="E25" s="58"/>
      <c r="F25" s="58"/>
    </row>
    <row r="26" spans="1:6" x14ac:dyDescent="0.25">
      <c r="A26" s="51" t="s">
        <v>14</v>
      </c>
      <c r="B26" s="2" t="s">
        <v>15</v>
      </c>
      <c r="C26" s="2" t="s">
        <v>16</v>
      </c>
      <c r="D26" s="52" t="s">
        <v>17</v>
      </c>
    </row>
    <row r="27" spans="1:6" x14ac:dyDescent="0.25">
      <c r="A27" s="51">
        <v>0</v>
      </c>
      <c r="B27" s="53">
        <v>0</v>
      </c>
      <c r="D27" s="54">
        <f>B27</f>
        <v>0</v>
      </c>
    </row>
    <row r="28" spans="1:6" x14ac:dyDescent="0.25">
      <c r="A28" s="51">
        <v>1</v>
      </c>
      <c r="B28" s="53">
        <f t="shared" ref="B28:B33" si="0">($E$12*$E$9)/6</f>
        <v>44000</v>
      </c>
      <c r="C28" s="84">
        <f>$E$11*D27</f>
        <v>0</v>
      </c>
      <c r="D28" s="54">
        <f>D27+B28+C28</f>
        <v>44000</v>
      </c>
    </row>
    <row r="29" spans="1:6" x14ac:dyDescent="0.25">
      <c r="A29" s="51">
        <v>2</v>
      </c>
      <c r="B29" s="53">
        <f t="shared" si="0"/>
        <v>44000</v>
      </c>
      <c r="C29" s="84">
        <f t="shared" ref="C29:C38" si="1">$E$11*D28</f>
        <v>2200</v>
      </c>
      <c r="D29" s="54">
        <f t="shared" ref="D29:D38" si="2">D28+B29+C29</f>
        <v>90200</v>
      </c>
    </row>
    <row r="30" spans="1:6" x14ac:dyDescent="0.25">
      <c r="A30" s="51">
        <v>3</v>
      </c>
      <c r="B30" s="53">
        <f t="shared" si="0"/>
        <v>44000</v>
      </c>
      <c r="C30" s="84">
        <f t="shared" si="1"/>
        <v>4510</v>
      </c>
      <c r="D30" s="54">
        <f t="shared" si="2"/>
        <v>138710</v>
      </c>
    </row>
    <row r="31" spans="1:6" x14ac:dyDescent="0.25">
      <c r="A31" s="51">
        <v>4</v>
      </c>
      <c r="B31" s="53">
        <f t="shared" si="0"/>
        <v>44000</v>
      </c>
      <c r="C31" s="84">
        <f t="shared" si="1"/>
        <v>6935.5</v>
      </c>
      <c r="D31" s="54">
        <f t="shared" si="2"/>
        <v>189645.5</v>
      </c>
    </row>
    <row r="32" spans="1:6" x14ac:dyDescent="0.25">
      <c r="A32" s="51">
        <v>5</v>
      </c>
      <c r="B32" s="53">
        <f t="shared" si="0"/>
        <v>44000</v>
      </c>
      <c r="C32" s="84">
        <f t="shared" si="1"/>
        <v>9482.2749999999996</v>
      </c>
      <c r="D32" s="54">
        <f t="shared" si="2"/>
        <v>243127.77499999999</v>
      </c>
    </row>
    <row r="33" spans="1:8" x14ac:dyDescent="0.25">
      <c r="A33" s="51">
        <v>6</v>
      </c>
      <c r="B33" s="53">
        <f t="shared" si="0"/>
        <v>44000</v>
      </c>
      <c r="C33" s="84">
        <f t="shared" si="1"/>
        <v>12156.38875</v>
      </c>
      <c r="D33" s="54">
        <f t="shared" si="2"/>
        <v>299284.16375000001</v>
      </c>
    </row>
    <row r="34" spans="1:8" x14ac:dyDescent="0.25">
      <c r="A34" s="51">
        <v>7</v>
      </c>
      <c r="B34" s="53">
        <f>($E$12*$E$10)/6</f>
        <v>29333.333333333332</v>
      </c>
      <c r="C34" s="84">
        <f t="shared" si="1"/>
        <v>14964.2081875</v>
      </c>
      <c r="D34" s="54">
        <f t="shared" si="2"/>
        <v>343581.70527083334</v>
      </c>
    </row>
    <row r="35" spans="1:8" x14ac:dyDescent="0.25">
      <c r="A35" s="51">
        <v>8</v>
      </c>
      <c r="B35" s="53">
        <f t="shared" ref="B35:B39" si="3">($E$12*$E$10)/6</f>
        <v>29333.333333333332</v>
      </c>
      <c r="C35" s="84">
        <f t="shared" si="1"/>
        <v>17179.085263541667</v>
      </c>
      <c r="D35" s="54">
        <f t="shared" si="2"/>
        <v>390094.12386770832</v>
      </c>
    </row>
    <row r="36" spans="1:8" x14ac:dyDescent="0.25">
      <c r="A36" s="51">
        <v>9</v>
      </c>
      <c r="B36" s="53">
        <f t="shared" si="3"/>
        <v>29333.333333333332</v>
      </c>
      <c r="C36" s="84">
        <f t="shared" si="1"/>
        <v>19504.706193385417</v>
      </c>
      <c r="D36" s="54">
        <f t="shared" si="2"/>
        <v>438932.16339442704</v>
      </c>
    </row>
    <row r="37" spans="1:8" x14ac:dyDescent="0.25">
      <c r="A37" s="51">
        <v>10</v>
      </c>
      <c r="B37" s="53">
        <f t="shared" si="3"/>
        <v>29333.333333333332</v>
      </c>
      <c r="C37" s="84">
        <f t="shared" si="1"/>
        <v>21946.608169721352</v>
      </c>
      <c r="D37" s="54">
        <f t="shared" si="2"/>
        <v>490212.10489748174</v>
      </c>
    </row>
    <row r="38" spans="1:8" x14ac:dyDescent="0.25">
      <c r="A38" s="51">
        <v>11</v>
      </c>
      <c r="B38" s="53">
        <f t="shared" si="3"/>
        <v>29333.333333333332</v>
      </c>
      <c r="C38" s="84">
        <f t="shared" si="1"/>
        <v>24510.605244874088</v>
      </c>
      <c r="D38" s="54">
        <f t="shared" si="2"/>
        <v>544056.04347568913</v>
      </c>
    </row>
    <row r="39" spans="1:8" x14ac:dyDescent="0.25">
      <c r="A39" s="55">
        <v>12</v>
      </c>
      <c r="B39" s="56">
        <f t="shared" si="3"/>
        <v>29333.333333333332</v>
      </c>
      <c r="C39" s="86">
        <f>$E$11*D38</f>
        <v>27202.802173784457</v>
      </c>
      <c r="D39" s="57">
        <f>D38+B39+C39</f>
        <v>600592.17898280697</v>
      </c>
    </row>
    <row r="40" spans="1:8" x14ac:dyDescent="0.25">
      <c r="A40" t="s">
        <v>62</v>
      </c>
      <c r="B40" s="85">
        <f>SUM(C28:C39)</f>
        <v>160592.17898280697</v>
      </c>
    </row>
    <row r="41" spans="1:8" x14ac:dyDescent="0.25">
      <c r="A41" t="s">
        <v>68</v>
      </c>
      <c r="B41" s="85">
        <f>D39-B40</f>
        <v>440000</v>
      </c>
      <c r="C41" t="s">
        <v>69</v>
      </c>
    </row>
    <row r="42" spans="1:8" ht="15.75" thickBot="1" x14ac:dyDescent="0.3">
      <c r="B42" s="36"/>
    </row>
    <row r="43" spans="1:8" ht="15.75" thickBot="1" x14ac:dyDescent="0.3">
      <c r="A43" s="111" t="s">
        <v>57</v>
      </c>
      <c r="B43" s="112"/>
      <c r="C43" s="112"/>
      <c r="D43" s="112"/>
      <c r="E43" s="112"/>
      <c r="F43" s="112"/>
      <c r="G43" s="112"/>
      <c r="H43" s="113"/>
    </row>
    <row r="44" spans="1:8" ht="15.75" thickBot="1" x14ac:dyDescent="0.3">
      <c r="A44" s="11" t="s">
        <v>57</v>
      </c>
      <c r="B44" s="11"/>
      <c r="C44" s="11"/>
      <c r="D44" s="39"/>
      <c r="E44" s="39"/>
      <c r="F44" s="39"/>
      <c r="G44" s="39"/>
      <c r="H44" s="39"/>
    </row>
    <row r="45" spans="1:8" x14ac:dyDescent="0.25">
      <c r="A45" s="1" t="s">
        <v>19</v>
      </c>
      <c r="B45" s="10">
        <v>0</v>
      </c>
      <c r="C45" s="2">
        <v>1</v>
      </c>
      <c r="D45" s="10"/>
      <c r="E45" s="2"/>
      <c r="F45" s="2"/>
      <c r="G45" s="2"/>
      <c r="H45" s="3"/>
    </row>
    <row r="46" spans="1:8" x14ac:dyDescent="0.25">
      <c r="A46" s="1" t="s">
        <v>20</v>
      </c>
      <c r="C46" s="87">
        <f>B2</f>
        <v>120000</v>
      </c>
      <c r="D46" s="10"/>
      <c r="E46" s="2"/>
      <c r="F46" s="2"/>
      <c r="G46" s="2"/>
      <c r="H46" s="3"/>
    </row>
    <row r="47" spans="1:8" x14ac:dyDescent="0.25">
      <c r="A47" s="1" t="s">
        <v>3</v>
      </c>
      <c r="C47" s="87">
        <f>B4</f>
        <v>400000</v>
      </c>
      <c r="D47" s="10"/>
      <c r="E47" s="2"/>
      <c r="F47" s="2"/>
      <c r="G47" s="2"/>
      <c r="H47" s="3"/>
    </row>
    <row r="48" spans="1:8" x14ac:dyDescent="0.25">
      <c r="A48" s="1" t="s">
        <v>77</v>
      </c>
      <c r="C48" s="87">
        <f>B3</f>
        <v>50000</v>
      </c>
      <c r="D48" s="10"/>
      <c r="E48" s="2"/>
      <c r="F48" s="2"/>
      <c r="G48" s="2"/>
      <c r="H48" s="3"/>
    </row>
    <row r="49" spans="1:10" ht="15.75" thickBot="1" x14ac:dyDescent="0.3">
      <c r="A49" s="1" t="s">
        <v>21</v>
      </c>
      <c r="B49" s="9"/>
      <c r="C49" s="12">
        <f>E4*C52</f>
        <v>8800</v>
      </c>
      <c r="D49" s="10"/>
      <c r="E49" s="2"/>
      <c r="F49" s="2"/>
      <c r="G49" s="2"/>
      <c r="H49" s="3"/>
    </row>
    <row r="50" spans="1:10" x14ac:dyDescent="0.25">
      <c r="A50" s="1" t="s">
        <v>60</v>
      </c>
      <c r="B50" s="10"/>
      <c r="C50" s="10">
        <f>B40</f>
        <v>160592.17898280697</v>
      </c>
      <c r="D50" s="10"/>
      <c r="E50" s="2"/>
      <c r="F50" s="2"/>
      <c r="G50" s="2"/>
      <c r="H50" s="3"/>
    </row>
    <row r="51" spans="1:10" x14ac:dyDescent="0.25">
      <c r="A51" s="13" t="s">
        <v>53</v>
      </c>
      <c r="B51" s="2"/>
      <c r="C51" s="10">
        <f>SUM(C46:C49)</f>
        <v>578800</v>
      </c>
      <c r="D51" s="10"/>
      <c r="E51" s="2"/>
      <c r="F51" s="2"/>
      <c r="G51" s="2"/>
      <c r="H51" s="3"/>
    </row>
    <row r="52" spans="1:10" ht="15.75" thickBot="1" x14ac:dyDescent="0.3">
      <c r="A52" s="14" t="s">
        <v>67</v>
      </c>
      <c r="B52" s="15"/>
      <c r="C52" s="15">
        <f>B41</f>
        <v>440000</v>
      </c>
      <c r="D52" s="16"/>
      <c r="E52" s="9"/>
      <c r="F52" s="9"/>
      <c r="G52" s="9"/>
      <c r="H52" s="17"/>
    </row>
    <row r="53" spans="1:10" x14ac:dyDescent="0.25">
      <c r="A53" t="s">
        <v>22</v>
      </c>
      <c r="C53" s="88">
        <f>C51-C52</f>
        <v>138800</v>
      </c>
    </row>
    <row r="54" spans="1:10" x14ac:dyDescent="0.25">
      <c r="A54" s="47"/>
      <c r="B54" s="48"/>
      <c r="C54" s="65" t="s">
        <v>65</v>
      </c>
      <c r="D54" s="48"/>
      <c r="E54" s="48"/>
      <c r="F54" s="48"/>
      <c r="G54" s="50"/>
      <c r="H54" s="58"/>
    </row>
    <row r="55" spans="1:10" x14ac:dyDescent="0.25">
      <c r="A55" s="51" t="s">
        <v>19</v>
      </c>
      <c r="B55" s="2">
        <v>2</v>
      </c>
      <c r="C55" s="2">
        <v>3</v>
      </c>
      <c r="D55" s="2">
        <v>4</v>
      </c>
      <c r="E55" s="2">
        <v>5</v>
      </c>
      <c r="F55" s="52">
        <v>6</v>
      </c>
      <c r="G55" t="s">
        <v>66</v>
      </c>
    </row>
    <row r="56" spans="1:10" x14ac:dyDescent="0.25">
      <c r="A56" s="51"/>
      <c r="B56" s="2"/>
      <c r="C56" s="2"/>
      <c r="D56" s="2"/>
      <c r="E56" s="2"/>
      <c r="F56" s="2"/>
      <c r="G56" s="52"/>
    </row>
    <row r="57" spans="1:10" x14ac:dyDescent="0.25">
      <c r="A57" s="51" t="s">
        <v>23</v>
      </c>
      <c r="B57" s="66">
        <f>B5</f>
        <v>60000</v>
      </c>
      <c r="C57" s="66">
        <f>B57*(1+$B$7)</f>
        <v>61499.999999999993</v>
      </c>
      <c r="D57" s="66">
        <f t="shared" ref="D57:F57" si="4">C57*(1+$B$7)</f>
        <v>63037.499999999985</v>
      </c>
      <c r="E57" s="66">
        <f t="shared" si="4"/>
        <v>64613.437499999978</v>
      </c>
      <c r="F57" s="66">
        <f t="shared" si="4"/>
        <v>66228.773437499971</v>
      </c>
      <c r="G57" s="67"/>
      <c r="H57" s="40"/>
    </row>
    <row r="58" spans="1:10" x14ac:dyDescent="0.25">
      <c r="A58" s="68" t="s">
        <v>24</v>
      </c>
      <c r="B58" s="89">
        <f>PPMT($E$5,B55-1,$E$3,$C$52)</f>
        <v>-11961.205069814638</v>
      </c>
      <c r="C58" s="89">
        <f t="shared" ref="C58:F58" si="5">PPMT($E$5,1,$E$3,$C$52)</f>
        <v>-11961.205069814638</v>
      </c>
      <c r="D58" s="89">
        <f t="shared" si="5"/>
        <v>-11961.205069814638</v>
      </c>
      <c r="E58" s="89">
        <f t="shared" si="5"/>
        <v>-11961.205069814638</v>
      </c>
      <c r="F58" s="89">
        <f t="shared" si="5"/>
        <v>-11961.205069814638</v>
      </c>
      <c r="G58" s="67"/>
      <c r="H58" s="40" t="s">
        <v>70</v>
      </c>
    </row>
    <row r="59" spans="1:10" x14ac:dyDescent="0.25">
      <c r="A59" s="69" t="s">
        <v>25</v>
      </c>
      <c r="B59" s="66">
        <f>B57+B58</f>
        <v>48038.794930185366</v>
      </c>
      <c r="C59" s="66">
        <f t="shared" ref="C59:F59" si="6">C57+C58</f>
        <v>49538.794930185351</v>
      </c>
      <c r="D59" s="66">
        <f t="shared" si="6"/>
        <v>51076.294930185351</v>
      </c>
      <c r="E59" s="66">
        <f t="shared" si="6"/>
        <v>52652.232430185337</v>
      </c>
      <c r="F59" s="66">
        <f t="shared" si="6"/>
        <v>54267.568367685337</v>
      </c>
      <c r="G59" s="67"/>
      <c r="H59" s="40"/>
    </row>
    <row r="60" spans="1:10" x14ac:dyDescent="0.25">
      <c r="A60" s="51"/>
      <c r="B60" s="66"/>
      <c r="C60" s="66"/>
      <c r="D60" s="66"/>
      <c r="E60" s="66"/>
      <c r="F60" s="66"/>
      <c r="G60" s="67"/>
      <c r="H60" s="40"/>
    </row>
    <row r="61" spans="1:10" x14ac:dyDescent="0.25">
      <c r="A61" s="51" t="s">
        <v>26</v>
      </c>
      <c r="B61" s="66"/>
      <c r="C61" s="66"/>
      <c r="D61" s="66"/>
      <c r="E61" s="66"/>
      <c r="F61" s="66"/>
      <c r="G61" s="67"/>
      <c r="H61" s="40"/>
    </row>
    <row r="62" spans="1:10" x14ac:dyDescent="0.25">
      <c r="A62" s="51" t="s">
        <v>27</v>
      </c>
      <c r="B62" s="89">
        <f>-$E$5*C52</f>
        <v>-26400</v>
      </c>
      <c r="C62" s="89">
        <f>-$E$5*(C52+B58)</f>
        <v>-25682.32769581112</v>
      </c>
      <c r="D62" s="89">
        <f>-$E$5*($C$52+B58+C58)</f>
        <v>-24964.655391622244</v>
      </c>
      <c r="E62" s="89">
        <f>-$E$5*($C$52+B58+C58+D58)</f>
        <v>-24246.983087433364</v>
      </c>
      <c r="F62" s="89">
        <f>-$E$5*($C$52+B58+C58+D58+E58)</f>
        <v>-23529.310783244488</v>
      </c>
      <c r="G62" s="67"/>
      <c r="H62" s="40"/>
    </row>
    <row r="63" spans="1:10" x14ac:dyDescent="0.25">
      <c r="A63" s="51" t="s">
        <v>28</v>
      </c>
      <c r="B63" s="89"/>
      <c r="C63" s="89"/>
      <c r="D63" s="89"/>
      <c r="E63" s="89"/>
      <c r="F63" s="89"/>
      <c r="G63" s="67"/>
      <c r="H63" s="40" t="s">
        <v>78</v>
      </c>
      <c r="J63" s="87">
        <f>SUM(B3:B4,B40)</f>
        <v>610592.17898280697</v>
      </c>
    </row>
    <row r="64" spans="1:10" x14ac:dyDescent="0.25">
      <c r="A64" s="51" t="s">
        <v>51</v>
      </c>
      <c r="B64" s="89">
        <f>-($J$63*$E$19)/$E$18</f>
        <v>-17300.111737846197</v>
      </c>
      <c r="C64" s="89">
        <f t="shared" ref="C64:F64" si="7">-($J$63*$E$19)/$E$18</f>
        <v>-17300.111737846197</v>
      </c>
      <c r="D64" s="89">
        <f t="shared" si="7"/>
        <v>-17300.111737846197</v>
      </c>
      <c r="E64" s="89">
        <f t="shared" si="7"/>
        <v>-17300.111737846197</v>
      </c>
      <c r="F64" s="89">
        <f t="shared" si="7"/>
        <v>-17300.111737846197</v>
      </c>
      <c r="G64" s="67"/>
      <c r="H64" s="40"/>
    </row>
    <row r="65" spans="1:8" x14ac:dyDescent="0.25">
      <c r="A65" s="51" t="s">
        <v>52</v>
      </c>
      <c r="B65" s="89">
        <f>-($J$63*$E$21)/$E$20</f>
        <v>-9158.8826847421042</v>
      </c>
      <c r="C65" s="89">
        <f t="shared" ref="C65:F65" si="8">-($J$63*$E$21)/$E$20</f>
        <v>-9158.8826847421042</v>
      </c>
      <c r="D65" s="89">
        <f t="shared" si="8"/>
        <v>-9158.8826847421042</v>
      </c>
      <c r="E65" s="89">
        <f t="shared" si="8"/>
        <v>-9158.8826847421042</v>
      </c>
      <c r="F65" s="89">
        <f t="shared" si="8"/>
        <v>-9158.8826847421042</v>
      </c>
      <c r="G65" s="67"/>
      <c r="H65" s="40"/>
    </row>
    <row r="66" spans="1:8" x14ac:dyDescent="0.25">
      <c r="A66" s="51" t="s">
        <v>29</v>
      </c>
      <c r="B66" s="89"/>
      <c r="C66" s="89"/>
      <c r="D66" s="89"/>
      <c r="E66" s="89"/>
      <c r="F66" s="89"/>
      <c r="G66" s="67"/>
      <c r="H66" s="40"/>
    </row>
    <row r="67" spans="1:8" x14ac:dyDescent="0.25">
      <c r="A67" s="51" t="s">
        <v>30</v>
      </c>
      <c r="B67" s="89">
        <f>-$C$49/$E$3</f>
        <v>-440</v>
      </c>
      <c r="C67" s="89">
        <f t="shared" ref="C67:F67" si="9">-$C$49/$E$3</f>
        <v>-440</v>
      </c>
      <c r="D67" s="89">
        <f t="shared" si="9"/>
        <v>-440</v>
      </c>
      <c r="E67" s="89">
        <f t="shared" si="9"/>
        <v>-440</v>
      </c>
      <c r="F67" s="89">
        <f t="shared" si="9"/>
        <v>-440</v>
      </c>
      <c r="G67" s="67"/>
      <c r="H67" s="40"/>
    </row>
    <row r="68" spans="1:8" x14ac:dyDescent="0.25">
      <c r="A68" s="51" t="s">
        <v>31</v>
      </c>
      <c r="B68" s="89">
        <f>B59+SUM(B62:B67)</f>
        <v>-5260.1994924029277</v>
      </c>
      <c r="C68" s="89">
        <f t="shared" ref="C68:F68" si="10">C59+SUM(C62:C67)</f>
        <v>-3042.527188214066</v>
      </c>
      <c r="D68" s="89">
        <f t="shared" si="10"/>
        <v>-787.35488402518968</v>
      </c>
      <c r="E68" s="89">
        <f t="shared" si="10"/>
        <v>1506.2549201636721</v>
      </c>
      <c r="F68" s="89">
        <f t="shared" si="10"/>
        <v>3839.2631618525484</v>
      </c>
      <c r="G68" s="67"/>
      <c r="H68" s="40"/>
    </row>
    <row r="69" spans="1:8" x14ac:dyDescent="0.25">
      <c r="A69" s="51" t="s">
        <v>32</v>
      </c>
      <c r="B69" s="89">
        <f>-B68*$E$15</f>
        <v>1841.0698223410245</v>
      </c>
      <c r="C69" s="89">
        <f t="shared" ref="C69:F69" si="11">-C68*$E$15</f>
        <v>1064.884515874923</v>
      </c>
      <c r="D69" s="89">
        <f t="shared" si="11"/>
        <v>275.57420940881639</v>
      </c>
      <c r="E69" s="89">
        <f t="shared" si="11"/>
        <v>-527.18922205728518</v>
      </c>
      <c r="F69" s="89">
        <f t="shared" si="11"/>
        <v>-1343.7421066483919</v>
      </c>
      <c r="G69" s="67"/>
      <c r="H69" s="40"/>
    </row>
    <row r="70" spans="1:8" x14ac:dyDescent="0.25">
      <c r="A70" s="51"/>
      <c r="B70" s="89"/>
      <c r="C70" s="89"/>
      <c r="D70" s="89"/>
      <c r="E70" s="89"/>
      <c r="F70" s="89"/>
      <c r="G70" s="67"/>
      <c r="H70" s="40"/>
    </row>
    <row r="71" spans="1:8" x14ac:dyDescent="0.25">
      <c r="A71" s="70" t="s">
        <v>33</v>
      </c>
      <c r="B71" s="90">
        <f>B68-B69</f>
        <v>-7101.2693147439522</v>
      </c>
      <c r="C71" s="90">
        <f t="shared" ref="C71:F71" si="12">C68-C69</f>
        <v>-4107.4117040889887</v>
      </c>
      <c r="D71" s="90">
        <f t="shared" si="12"/>
        <v>-1062.9290934340061</v>
      </c>
      <c r="E71" s="90">
        <f t="shared" si="12"/>
        <v>2033.4441422209572</v>
      </c>
      <c r="F71" s="90">
        <f t="shared" si="12"/>
        <v>5183.0052685009405</v>
      </c>
      <c r="G71" s="72"/>
      <c r="H71" s="40"/>
    </row>
    <row r="73" spans="1:8" ht="15.75" thickBot="1" x14ac:dyDescent="0.3"/>
    <row r="74" spans="1:8" ht="15.75" thickBot="1" x14ac:dyDescent="0.3">
      <c r="A74" s="111" t="s">
        <v>58</v>
      </c>
      <c r="B74" s="112"/>
      <c r="C74" s="112"/>
      <c r="D74" s="113"/>
    </row>
    <row r="75" spans="1:8" x14ac:dyDescent="0.25">
      <c r="A75" s="20" t="s">
        <v>55</v>
      </c>
      <c r="B75" s="21"/>
      <c r="C75" s="22">
        <f>B8</f>
        <v>1000000</v>
      </c>
      <c r="D75" s="3"/>
    </row>
    <row r="76" spans="1:8" x14ac:dyDescent="0.25">
      <c r="A76" s="20" t="s">
        <v>18</v>
      </c>
      <c r="B76" s="22"/>
      <c r="C76" s="23">
        <f>C52+(SUM(B58:F58))</f>
        <v>380193.97465092683</v>
      </c>
      <c r="D76" s="3"/>
    </row>
    <row r="77" spans="1:8" x14ac:dyDescent="0.25">
      <c r="A77" s="20" t="s">
        <v>34</v>
      </c>
      <c r="B77" s="22"/>
      <c r="C77" s="22">
        <f>C75-C76</f>
        <v>619806.02534907311</v>
      </c>
      <c r="D77" s="3"/>
    </row>
    <row r="78" spans="1:8" x14ac:dyDescent="0.25">
      <c r="A78" s="24"/>
      <c r="B78" s="22"/>
      <c r="C78" s="22"/>
      <c r="D78" s="25"/>
    </row>
    <row r="79" spans="1:8" x14ac:dyDescent="0.25">
      <c r="A79" s="20" t="s">
        <v>56</v>
      </c>
      <c r="B79" s="22">
        <f>B2+B3+B4+C49+B40</f>
        <v>739392.17898280697</v>
      </c>
      <c r="C79" s="22" t="s">
        <v>74</v>
      </c>
      <c r="D79" s="19"/>
    </row>
    <row r="80" spans="1:8" x14ac:dyDescent="0.25">
      <c r="A80" s="20" t="s">
        <v>35</v>
      </c>
      <c r="B80" s="23">
        <f>SUM(B64:F67)</f>
        <v>-134494.9721129415</v>
      </c>
      <c r="C80" s="22"/>
      <c r="D80" s="26"/>
    </row>
    <row r="81" spans="1:8" x14ac:dyDescent="0.25">
      <c r="A81" s="20" t="s">
        <v>36</v>
      </c>
      <c r="B81" s="21">
        <f>B79+B80</f>
        <v>604897.20686986553</v>
      </c>
      <c r="C81" s="22"/>
      <c r="D81" s="27"/>
    </row>
    <row r="82" spans="1:8" x14ac:dyDescent="0.25">
      <c r="A82" s="24"/>
      <c r="B82" s="22"/>
      <c r="C82" s="22"/>
      <c r="D82" s="27"/>
    </row>
    <row r="83" spans="1:8" x14ac:dyDescent="0.25">
      <c r="A83" s="20" t="s">
        <v>37</v>
      </c>
      <c r="B83" s="21">
        <f>C77-B81</f>
        <v>14908.818479207577</v>
      </c>
      <c r="C83" s="22"/>
      <c r="D83" s="27"/>
      <c r="E83" s="36"/>
      <c r="F83" s="36"/>
      <c r="G83" s="36"/>
      <c r="H83" s="36"/>
    </row>
    <row r="84" spans="1:8" x14ac:dyDescent="0.25">
      <c r="A84" s="20" t="s">
        <v>38</v>
      </c>
      <c r="B84" s="22">
        <f>-B83*E16</f>
        <v>-3727.2046198018943</v>
      </c>
      <c r="C84" s="21"/>
      <c r="D84" s="28"/>
      <c r="E84" s="36"/>
      <c r="F84" s="36"/>
      <c r="G84" s="36"/>
      <c r="H84" s="36"/>
    </row>
    <row r="85" spans="1:8" ht="15.75" thickBot="1" x14ac:dyDescent="0.3">
      <c r="A85" s="73" t="s">
        <v>39</v>
      </c>
      <c r="B85" s="74"/>
      <c r="C85" s="75"/>
      <c r="D85" s="76">
        <f>B83+B84</f>
        <v>11181.613859405683</v>
      </c>
    </row>
    <row r="87" spans="1:8" x14ac:dyDescent="0.25">
      <c r="D87" s="36"/>
      <c r="E87" s="36"/>
      <c r="F87" s="36"/>
      <c r="G87" s="36"/>
      <c r="H87" s="36"/>
    </row>
    <row r="88" spans="1:8" x14ac:dyDescent="0.25">
      <c r="A88" s="47"/>
      <c r="B88" s="48"/>
      <c r="C88" s="65" t="s">
        <v>59</v>
      </c>
      <c r="D88" s="48"/>
      <c r="E88" s="48"/>
      <c r="F88" s="48"/>
      <c r="G88" s="48"/>
      <c r="H88" s="50"/>
    </row>
    <row r="89" spans="1:8" x14ac:dyDescent="0.25">
      <c r="A89" s="91" t="s">
        <v>19</v>
      </c>
      <c r="B89" s="92">
        <v>0</v>
      </c>
      <c r="C89" s="92">
        <v>1</v>
      </c>
      <c r="D89" s="92">
        <v>2</v>
      </c>
      <c r="E89" s="92">
        <v>3</v>
      </c>
      <c r="F89" s="92">
        <v>4</v>
      </c>
      <c r="G89" s="92">
        <v>5</v>
      </c>
      <c r="H89" s="93">
        <v>6</v>
      </c>
    </row>
    <row r="90" spans="1:8" x14ac:dyDescent="0.25">
      <c r="A90" s="69" t="s">
        <v>25</v>
      </c>
      <c r="B90" s="77">
        <v>0</v>
      </c>
      <c r="C90" s="77">
        <f>-C51</f>
        <v>-578800</v>
      </c>
      <c r="D90" s="66">
        <f>B68</f>
        <v>-5260.1994924029277</v>
      </c>
      <c r="E90" s="66">
        <f t="shared" ref="E90:F90" si="13">C68</f>
        <v>-3042.527188214066</v>
      </c>
      <c r="F90" s="66">
        <f t="shared" si="13"/>
        <v>-787.35488402518968</v>
      </c>
      <c r="G90" s="66">
        <f>E68</f>
        <v>1506.2549201636721</v>
      </c>
      <c r="H90" s="67">
        <f>F68+B83</f>
        <v>18748.081641060126</v>
      </c>
    </row>
    <row r="91" spans="1:8" x14ac:dyDescent="0.25">
      <c r="A91" s="78" t="s">
        <v>33</v>
      </c>
      <c r="B91" s="79">
        <v>0</v>
      </c>
      <c r="C91" s="79">
        <f>C90</f>
        <v>-578800</v>
      </c>
      <c r="D91" s="71">
        <f>B71</f>
        <v>-7101.2693147439522</v>
      </c>
      <c r="E91" s="71">
        <f t="shared" ref="E91:G91" si="14">C71</f>
        <v>-4107.4117040889887</v>
      </c>
      <c r="F91" s="71">
        <f t="shared" si="14"/>
        <v>-1062.9290934340061</v>
      </c>
      <c r="G91" s="71">
        <f t="shared" si="14"/>
        <v>2033.4441422209572</v>
      </c>
      <c r="H91" s="72">
        <f>F71+D85</f>
        <v>16364.619127906622</v>
      </c>
    </row>
    <row r="92" spans="1:8" ht="15.75" thickBot="1" x14ac:dyDescent="0.3">
      <c r="C92" s="36"/>
    </row>
    <row r="93" spans="1:8" ht="15.75" thickBot="1" x14ac:dyDescent="0.3">
      <c r="A93" s="18" t="s">
        <v>72</v>
      </c>
      <c r="B93" s="29">
        <f>IRR(B90:H90)</f>
        <v>-0.4972856761530251</v>
      </c>
      <c r="D93" s="36"/>
      <c r="E93" s="36"/>
      <c r="F93" s="36"/>
      <c r="G93" s="36"/>
      <c r="H93" s="36"/>
    </row>
    <row r="94" spans="1:8" ht="15.75" thickBot="1" x14ac:dyDescent="0.3">
      <c r="A94" s="18" t="s">
        <v>73</v>
      </c>
      <c r="B94" s="29">
        <f>IRR(B91:H91)</f>
        <v>-0.51079537780520989</v>
      </c>
      <c r="D94" s="36"/>
      <c r="E94" s="36"/>
      <c r="F94" s="36"/>
      <c r="G94" s="36"/>
      <c r="H94" s="36"/>
    </row>
    <row r="95" spans="1:8" ht="15.75" thickBot="1" x14ac:dyDescent="0.3">
      <c r="A95" s="18" t="s">
        <v>71</v>
      </c>
      <c r="B95" s="94">
        <f>NPV(B96,B91:H91)</f>
        <v>-477602.34561525856</v>
      </c>
      <c r="D95" s="36"/>
      <c r="E95" s="36"/>
      <c r="F95" s="36"/>
      <c r="G95" s="36"/>
      <c r="H95" s="36"/>
    </row>
    <row r="96" spans="1:8" x14ac:dyDescent="0.25">
      <c r="A96" s="95" t="s">
        <v>79</v>
      </c>
      <c r="B96" s="96">
        <v>0.1</v>
      </c>
    </row>
    <row r="97" spans="1:8" x14ac:dyDescent="0.25">
      <c r="D97" s="36"/>
      <c r="E97" s="36"/>
      <c r="F97" s="36"/>
      <c r="G97" s="36"/>
      <c r="H97" s="36"/>
    </row>
    <row r="98" spans="1:8" s="80" customFormat="1" x14ac:dyDescent="0.25">
      <c r="A98" s="81" t="s">
        <v>76</v>
      </c>
      <c r="B98" s="82"/>
      <c r="C98" s="82"/>
      <c r="D98" s="82"/>
    </row>
    <row r="99" spans="1:8" s="100" customFormat="1" x14ac:dyDescent="0.25">
      <c r="A99" s="99"/>
    </row>
    <row r="100" spans="1:8" s="100" customFormat="1" x14ac:dyDescent="0.25">
      <c r="A100" s="99"/>
      <c r="C100"/>
      <c r="D100"/>
      <c r="E100"/>
      <c r="F100"/>
      <c r="G100"/>
    </row>
    <row r="102" spans="1:8" x14ac:dyDescent="0.25">
      <c r="B102" s="97">
        <f>B93</f>
        <v>-0.4972856761530251</v>
      </c>
    </row>
    <row r="103" spans="1:8" x14ac:dyDescent="0.25">
      <c r="B103" s="98">
        <v>0.1</v>
      </c>
    </row>
  </sheetData>
  <mergeCells count="3">
    <mergeCell ref="A1:F1"/>
    <mergeCell ref="A43:H43"/>
    <mergeCell ref="A74:D74"/>
  </mergeCells>
  <pageMargins left="0.7" right="0.7" top="0.75" bottom="0.75" header="0.3" footer="0.3"/>
  <pageSetup orientation="portrait" r:id="rId1"/>
  <ignoredErrors>
    <ignoredError sqref="J6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1-8</vt:lpstr>
      <vt:lpstr>Question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2020-04-09T11:17:39Z</dcterms:modified>
</cp:coreProperties>
</file>