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\Desktop\Work Done\"/>
    </mc:Choice>
  </mc:AlternateContent>
  <xr:revisionPtr revIDLastSave="0" documentId="13_ncr:1_{8138B52B-AFB7-4010-9CE7-119F5FCA123C}" xr6:coauthVersionLast="45" xr6:coauthVersionMax="45" xr10:uidLastSave="{00000000-0000-0000-0000-000000000000}"/>
  <bookViews>
    <workbookView xWindow="-120" yWindow="-120" windowWidth="20730" windowHeight="11310" activeTab="3" xr2:uid="{8E9E0449-59A2-4F76-9F43-789478CCDB8A}"/>
  </bookViews>
  <sheets>
    <sheet name="cost of debt " sheetId="1" r:id="rId1"/>
    <sheet name="cost of equity " sheetId="2" r:id="rId2"/>
    <sheet name="WACC" sheetId="3" r:id="rId3"/>
    <sheet name="Cash flow estimaiton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U11" i="4" l="1"/>
  <c r="U12" i="4"/>
  <c r="U13" i="4"/>
  <c r="U14" i="4"/>
  <c r="U15" i="4"/>
  <c r="U16" i="4"/>
  <c r="U17" i="4"/>
  <c r="U18" i="4"/>
  <c r="U19" i="4"/>
  <c r="U20" i="4"/>
  <c r="T11" i="4"/>
  <c r="T12" i="4"/>
  <c r="T13" i="4"/>
  <c r="T14" i="4"/>
  <c r="T15" i="4"/>
  <c r="T16" i="4"/>
  <c r="T17" i="4"/>
  <c r="T18" i="4"/>
  <c r="T19" i="4"/>
  <c r="T20" i="4"/>
  <c r="T10" i="4"/>
  <c r="S11" i="4"/>
  <c r="S12" i="4"/>
  <c r="S13" i="4"/>
  <c r="S14" i="4"/>
  <c r="S15" i="4"/>
  <c r="S16" i="4"/>
  <c r="S17" i="4"/>
  <c r="S18" i="4"/>
  <c r="S19" i="4"/>
  <c r="S20" i="4"/>
  <c r="R11" i="4"/>
  <c r="R12" i="4"/>
  <c r="R13" i="4"/>
  <c r="R14" i="4"/>
  <c r="R15" i="4"/>
  <c r="R16" i="4"/>
  <c r="R17" i="4"/>
  <c r="R18" i="4"/>
  <c r="R19" i="4"/>
  <c r="R20" i="4"/>
  <c r="K11" i="4"/>
  <c r="K12" i="4"/>
  <c r="K13" i="4"/>
  <c r="Q13" i="4" s="1"/>
  <c r="K14" i="4"/>
  <c r="Q14" i="4" s="1"/>
  <c r="K15" i="4"/>
  <c r="K16" i="4"/>
  <c r="K17" i="4"/>
  <c r="Q17" i="4" s="1"/>
  <c r="K18" i="4"/>
  <c r="Q18" i="4" s="1"/>
  <c r="K19" i="4"/>
  <c r="K20" i="4"/>
  <c r="K10" i="4"/>
  <c r="Q11" i="4"/>
  <c r="Q12" i="4"/>
  <c r="Q15" i="4"/>
  <c r="Q16" i="4"/>
  <c r="Q19" i="4"/>
  <c r="Q20" i="4"/>
  <c r="N20" i="4"/>
  <c r="M20" i="4"/>
  <c r="I12" i="4"/>
  <c r="I11" i="4"/>
  <c r="I10" i="4"/>
  <c r="J10" i="4" s="1"/>
  <c r="M10" i="4"/>
  <c r="M11" i="4" s="1"/>
  <c r="I13" i="4"/>
  <c r="I14" i="4" s="1"/>
  <c r="I15" i="4" s="1"/>
  <c r="I16" i="4" s="1"/>
  <c r="I17" i="4" s="1"/>
  <c r="I18" i="4" s="1"/>
  <c r="I19" i="4" s="1"/>
  <c r="I20" i="4" s="1"/>
  <c r="P11" i="4"/>
  <c r="P12" i="4"/>
  <c r="P13" i="4"/>
  <c r="P14" i="4"/>
  <c r="P15" i="4"/>
  <c r="P16" i="4"/>
  <c r="P17" i="4"/>
  <c r="P18" i="4"/>
  <c r="P19" i="4"/>
  <c r="P20" i="4"/>
  <c r="P10" i="4"/>
  <c r="G11" i="4"/>
  <c r="G12" i="4" s="1"/>
  <c r="G13" i="4" s="1"/>
  <c r="G14" i="4" s="1"/>
  <c r="G15" i="4" s="1"/>
  <c r="G16" i="4" s="1"/>
  <c r="G17" i="4" s="1"/>
  <c r="G18" i="4" s="1"/>
  <c r="G19" i="4" s="1"/>
  <c r="G20" i="4" s="1"/>
  <c r="F11" i="4"/>
  <c r="F12" i="4" s="1"/>
  <c r="F13" i="4" s="1"/>
  <c r="F14" i="4" s="1"/>
  <c r="F15" i="4" s="1"/>
  <c r="F16" i="4" s="1"/>
  <c r="F17" i="4" s="1"/>
  <c r="F18" i="4" s="1"/>
  <c r="F19" i="4" s="1"/>
  <c r="F20" i="4" s="1"/>
  <c r="C7" i="4"/>
  <c r="H13" i="3"/>
  <c r="H20" i="3"/>
  <c r="H16" i="3"/>
  <c r="H17" i="3" s="1"/>
  <c r="H11" i="3"/>
  <c r="H10" i="3"/>
  <c r="J10" i="3"/>
  <c r="H6" i="3"/>
  <c r="H8" i="3" s="1"/>
  <c r="I6" i="3" s="1"/>
  <c r="D22" i="3"/>
  <c r="D20" i="3"/>
  <c r="D11" i="3"/>
  <c r="D10" i="3"/>
  <c r="D13" i="3" s="1"/>
  <c r="E6" i="3"/>
  <c r="E5" i="3"/>
  <c r="D8" i="3"/>
  <c r="E18" i="2"/>
  <c r="D18" i="2"/>
  <c r="C18" i="2"/>
  <c r="B18" i="2"/>
  <c r="A18" i="2"/>
  <c r="F6" i="2"/>
  <c r="F5" i="2"/>
  <c r="Q10" i="4" l="1"/>
  <c r="N10" i="4"/>
  <c r="M12" i="4"/>
  <c r="M13" i="4" s="1"/>
  <c r="M14" i="4" s="1"/>
  <c r="M15" i="4" s="1"/>
  <c r="M16" i="4" s="1"/>
  <c r="M17" i="4" s="1"/>
  <c r="M18" i="4" s="1"/>
  <c r="M19" i="4" s="1"/>
  <c r="J20" i="4"/>
  <c r="J13" i="4"/>
  <c r="J14" i="4"/>
  <c r="J18" i="4"/>
  <c r="J12" i="4"/>
  <c r="N11" i="4"/>
  <c r="J17" i="4"/>
  <c r="J11" i="4"/>
  <c r="J16" i="4"/>
  <c r="J19" i="4"/>
  <c r="J15" i="4"/>
  <c r="N16" i="4"/>
  <c r="N15" i="4"/>
  <c r="N14" i="4"/>
  <c r="I5" i="3"/>
  <c r="H22" i="3" s="1"/>
  <c r="R10" i="4" l="1"/>
  <c r="S10" i="4" s="1"/>
  <c r="U10" i="4" s="1"/>
  <c r="N18" i="4"/>
  <c r="N13" i="4"/>
  <c r="N12" i="4"/>
  <c r="N19" i="4"/>
  <c r="N17" i="4"/>
  <c r="L3" i="2" l="1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L2" i="2"/>
  <c r="J2" i="2"/>
  <c r="F3" i="2"/>
  <c r="J10" i="1"/>
  <c r="D16" i="3" s="1"/>
  <c r="D17" i="3" s="1"/>
  <c r="J6" i="1"/>
</calcChain>
</file>

<file path=xl/sharedStrings.xml><?xml version="1.0" encoding="utf-8"?>
<sst xmlns="http://schemas.openxmlformats.org/spreadsheetml/2006/main" count="130" uniqueCount="99">
  <si>
    <t xml:space="preserve">Senior Notes </t>
  </si>
  <si>
    <t xml:space="preserve">Coupon Payment </t>
  </si>
  <si>
    <t xml:space="preserve">Par Value in millions of dollars </t>
  </si>
  <si>
    <t xml:space="preserve">Issuance Date </t>
  </si>
  <si>
    <t xml:space="preserve">Maturity Date </t>
  </si>
  <si>
    <t xml:space="preserve">Annual interest expense </t>
  </si>
  <si>
    <t xml:space="preserve">Long term debt </t>
  </si>
  <si>
    <t>In thousands of $</t>
  </si>
  <si>
    <t xml:space="preserve">Effective interest rate </t>
  </si>
  <si>
    <t xml:space="preserve">Cost of debt </t>
  </si>
  <si>
    <t xml:space="preserve">Risk free rate </t>
  </si>
  <si>
    <t>Stats</t>
  </si>
  <si>
    <t>Last Value</t>
  </si>
  <si>
    <t>Latest Period</t>
  </si>
  <si>
    <t>Apr 23 2020</t>
  </si>
  <si>
    <t>Last Updated</t>
  </si>
  <si>
    <t>Apr 23 2020, 18:01 EDT</t>
  </si>
  <si>
    <t>Next Release</t>
  </si>
  <si>
    <t>Apr 24 2020, 18:00 EDT</t>
  </si>
  <si>
    <t>Long Term Average</t>
  </si>
  <si>
    <t>Value from 1 Year Ago</t>
  </si>
  <si>
    <t>Change from 1 Year Ago</t>
  </si>
  <si>
    <t>Frequency</t>
  </si>
  <si>
    <t>Market Daily</t>
  </si>
  <si>
    <t>Unit</t>
  </si>
  <si>
    <t>Percent</t>
  </si>
  <si>
    <t>Adjustment</t>
  </si>
  <si>
    <t>N/A</t>
  </si>
  <si>
    <t>Download Source File</t>
  </si>
  <si>
    <t>Upgrade</t>
  </si>
  <si>
    <t xml:space="preserve">risk free rate </t>
  </si>
  <si>
    <t xml:space="preserve">Expected market return </t>
  </si>
  <si>
    <t xml:space="preserve">Beta </t>
  </si>
  <si>
    <t xml:space="preserve">Date </t>
  </si>
  <si>
    <t>Netflix</t>
  </si>
  <si>
    <t>S&amp;P 500</t>
  </si>
  <si>
    <t xml:space="preserve">Netflix monthly returns </t>
  </si>
  <si>
    <t xml:space="preserve">S&amp;P 500 monthly returns 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</si>
  <si>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</si>
  <si>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</si>
  <si>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</si>
  <si>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</si>
  <si>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</si>
  <si>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</si>
  <si>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</si>
  <si>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</si>
  <si>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</si>
  <si>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</si>
  <si>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</si>
  <si>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</si>
  <si>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</si>
  <si>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</si>
  <si>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</si>
  <si>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</si>
  <si>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</si>
  <si>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</si>
  <si>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</si>
  <si>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</si>
  <si>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</si>
  <si>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</si>
  <si>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</si>
  <si>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</si>
  <si>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 xml:space="preserve">Market Premium </t>
  </si>
  <si>
    <t>beta (market premium</t>
  </si>
  <si>
    <t xml:space="preserve">cost of equity </t>
  </si>
  <si>
    <t xml:space="preserve">total value of debt </t>
  </si>
  <si>
    <t>In millions $</t>
  </si>
  <si>
    <t xml:space="preserve">Book value of equity </t>
  </si>
  <si>
    <t xml:space="preserve">Total </t>
  </si>
  <si>
    <t xml:space="preserve">Weight </t>
  </si>
  <si>
    <t xml:space="preserve">Weight of equity </t>
  </si>
  <si>
    <t>Marginal tax rate (weighted average federal + state )</t>
  </si>
  <si>
    <t>Cost of debt(1-tax rate)</t>
  </si>
  <si>
    <t>Weight of equity* cost of equity</t>
  </si>
  <si>
    <t xml:space="preserve">federal tax rate </t>
  </si>
  <si>
    <t xml:space="preserve">cost of debt(1-tax rate)*weight of debt </t>
  </si>
  <si>
    <t xml:space="preserve">Cost of capital from equity book value </t>
  </si>
  <si>
    <t xml:space="preserve">Market value of equity </t>
  </si>
  <si>
    <t xml:space="preserve">Initial investment </t>
  </si>
  <si>
    <t>$</t>
  </si>
  <si>
    <t>Shipping and installation fee</t>
  </si>
  <si>
    <t xml:space="preserve">Total cost of initial investment </t>
  </si>
  <si>
    <t xml:space="preserve">Salvage value </t>
  </si>
  <si>
    <t xml:space="preserve">Year </t>
  </si>
  <si>
    <t xml:space="preserve">Units sold </t>
  </si>
  <si>
    <t>Sales price</t>
  </si>
  <si>
    <t>variable cost</t>
  </si>
  <si>
    <t xml:space="preserve">Accounting for annualized inflation </t>
  </si>
  <si>
    <t xml:space="preserve">Depreciation </t>
  </si>
  <si>
    <t xml:space="preserve">MARCS Depreciation rate </t>
  </si>
  <si>
    <t xml:space="preserve">Accounting for 3% annualised inflation rate  </t>
  </si>
  <si>
    <t>Gross cash inflow</t>
  </si>
  <si>
    <t xml:space="preserve">Net working capital </t>
  </si>
  <si>
    <t xml:space="preserve">Total variable cost </t>
  </si>
  <si>
    <t xml:space="preserve">Tax </t>
  </si>
  <si>
    <t xml:space="preserve">EBT </t>
  </si>
  <si>
    <t>Operating cash flow</t>
  </si>
  <si>
    <t>PV</t>
  </si>
  <si>
    <t xml:space="preserve"> discount rate of 3.124%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</si>
</sst>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4" formatCode="_(&quot;$&quot;* #,##0.00_);_(&quot;$&quot;* \(#,##0.00\);_(&quot;$&quot;* &quot;-&quot;??_);_(@_)"/>
    <numFmt numFmtId="164" formatCode="0.000%"/>
    <numFmt numFmtId="173" formatCode="0.000000%"/>
    <numFmt numFmtId="175" formatCode="0.00000000%"/>
    <numFmt numFmtId="176" formatCode="0.00000000000000000%"/>
    <numFmt numFmtId="187" formatCode="&quot;$&quot;#,##0.00"/>
    <numFmt numFmtId="190" formatCode="&quot;$&quot;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16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17" fontId="0" fillId="0" borderId="0" xfId="0" applyNumberFormat="1"/>
    <xf numFmtId="9" fontId="0" fillId="0" borderId="0" xfId="2" applyFont="1"/>
    <xf numFmtId="10" fontId="0" fillId="0" borderId="0" xfId="2" applyNumberFormat="1" applyFont="1"/>
    <xf numFmtId="9" fontId="0" fillId="0" borderId="0" xfId="0" applyNumberFormat="1"/>
    <xf numFmtId="10" fontId="0" fillId="0" borderId="0" xfId="0" applyNumberFormat="1"/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 indent="2"/>
    </xf>
    <xf numFmtId="10" fontId="3" fillId="2" borderId="1" xfId="0" applyNumberFormat="1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right" vertical="top"/>
    </xf>
    <xf numFmtId="0" fontId="4" fillId="2" borderId="1" xfId="3" applyFill="1" applyBorder="1" applyAlignment="1">
      <alignment horizontal="right" vertical="top"/>
    </xf>
    <xf numFmtId="14" fontId="0" fillId="0" borderId="0" xfId="0" applyNumberFormat="1"/>
    <xf numFmtId="173" fontId="0" fillId="0" borderId="0" xfId="2" applyNumberFormat="1" applyFont="1"/>
    <xf numFmtId="175" fontId="0" fillId="0" borderId="0" xfId="2" applyNumberFormat="1" applyFont="1"/>
    <xf numFmtId="0" fontId="0" fillId="0" borderId="0" xfId="0" applyFill="1" applyBorder="1" applyAlignment="1"/>
    <xf numFmtId="0" fontId="0" fillId="0" borderId="2" xfId="0" applyFill="1" applyBorder="1" applyAlignment="1"/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Continuous"/>
    </xf>
    <xf numFmtId="173" fontId="0" fillId="0" borderId="0" xfId="0" applyNumberFormat="1"/>
    <xf numFmtId="176" fontId="0" fillId="0" borderId="0" xfId="0" applyNumberFormat="1"/>
    <xf numFmtId="0" fontId="2" fillId="2" borderId="0" xfId="0" applyFont="1" applyFill="1" applyBorder="1" applyAlignment="1">
      <alignment horizontal="left" vertical="top" wrapText="1" indent="2"/>
    </xf>
    <xf numFmtId="0" fontId="6" fillId="0" borderId="0" xfId="0" applyFont="1"/>
    <xf numFmtId="0" fontId="0" fillId="0" borderId="0" xfId="0" applyAlignment="1">
      <alignment horizontal="right"/>
    </xf>
    <xf numFmtId="190" fontId="0" fillId="0" borderId="0" xfId="1" applyNumberFormat="1" applyFont="1"/>
    <xf numFmtId="1" fontId="0" fillId="0" borderId="0" xfId="0" applyNumberFormat="1"/>
    <xf numFmtId="6" fontId="0" fillId="0" borderId="0" xfId="0" applyNumberFormat="1"/>
    <xf numFmtId="190" fontId="0" fillId="0" borderId="0" xfId="0" applyNumberFormat="1"/>
    <xf numFmtId="187" fontId="0" fillId="0" borderId="0" xfId="0" applyNumberFormat="1"/>
    <xf numFmtId="0" fontId="0" fillId="0" borderId="0" xfId="0" applyAlignment="1">
      <alignment horizontal="center" wrapText="1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ycharts.com/store/start_trial_register/indDataVerifi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2E096-7D28-4BEC-BBD3-9C9B506BF146}">
  <dimension ref="B2:J22"/>
  <sheetViews>
    <sheetView topLeftCell="B1" workbookViewId="0">
      <selection activeCell="J9" sqref="J9"/>
    </sheetView>
  </sheetViews>
  <sheetFormatPr defaultRowHeight="15" x14ac:dyDescent="0.25"/>
  <cols>
    <col min="2" max="2" width="16.7109375" bestFit="1" customWidth="1"/>
    <col min="3" max="3" width="12.85546875" bestFit="1" customWidth="1"/>
    <col min="4" max="4" width="11.42578125" customWidth="1"/>
    <col min="9" max="9" width="48.42578125" bestFit="1" customWidth="1"/>
    <col min="10" max="10" width="16.140625" bestFit="1" customWidth="1"/>
  </cols>
  <sheetData>
    <row r="2" spans="2:10" ht="54.75" customHeight="1" x14ac:dyDescent="0.25">
      <c r="B2" t="s">
        <v>1</v>
      </c>
      <c r="D2" s="2" t="s">
        <v>2</v>
      </c>
      <c r="E2" s="2" t="s">
        <v>3</v>
      </c>
      <c r="F2" s="3" t="s">
        <v>4</v>
      </c>
      <c r="J2" t="s">
        <v>7</v>
      </c>
    </row>
    <row r="3" spans="2:10" x14ac:dyDescent="0.25">
      <c r="B3" s="1">
        <v>5.3749999999999999E-2</v>
      </c>
      <c r="C3" t="s">
        <v>0</v>
      </c>
      <c r="D3">
        <v>500</v>
      </c>
      <c r="E3" s="4">
        <v>41306</v>
      </c>
      <c r="F3" s="4">
        <v>44228</v>
      </c>
      <c r="I3" t="s">
        <v>5</v>
      </c>
      <c r="J3">
        <v>626023</v>
      </c>
    </row>
    <row r="4" spans="2:10" x14ac:dyDescent="0.25">
      <c r="B4" s="1">
        <v>5.5E-2</v>
      </c>
      <c r="C4" t="s">
        <v>0</v>
      </c>
      <c r="D4">
        <v>700</v>
      </c>
      <c r="E4" s="4">
        <v>42036</v>
      </c>
      <c r="F4" s="4">
        <v>44593</v>
      </c>
      <c r="I4" t="s">
        <v>6</v>
      </c>
      <c r="J4">
        <v>14759260</v>
      </c>
    </row>
    <row r="5" spans="2:10" x14ac:dyDescent="0.25">
      <c r="B5" s="1">
        <v>5.7500000000000002E-2</v>
      </c>
      <c r="C5" t="s">
        <v>0</v>
      </c>
      <c r="D5">
        <v>400</v>
      </c>
      <c r="E5" s="4">
        <v>41671</v>
      </c>
      <c r="F5" s="4">
        <v>45352</v>
      </c>
    </row>
    <row r="6" spans="2:10" x14ac:dyDescent="0.25">
      <c r="B6" s="1">
        <v>5.8749999999999997E-2</v>
      </c>
      <c r="C6" t="s">
        <v>0</v>
      </c>
      <c r="D6">
        <v>800</v>
      </c>
      <c r="E6" s="4">
        <v>42036</v>
      </c>
      <c r="F6" s="4">
        <v>45689</v>
      </c>
      <c r="I6" t="s">
        <v>8</v>
      </c>
      <c r="J6" s="6">
        <f>J3/J4</f>
        <v>4.2415608912641962E-2</v>
      </c>
    </row>
    <row r="7" spans="2:10" x14ac:dyDescent="0.25">
      <c r="B7" s="1">
        <v>4.3749999999999997E-2</v>
      </c>
      <c r="C7" t="s">
        <v>0</v>
      </c>
      <c r="D7">
        <v>1000</v>
      </c>
      <c r="E7" s="4">
        <v>42644</v>
      </c>
      <c r="F7" s="4">
        <v>46327</v>
      </c>
    </row>
    <row r="8" spans="2:10" x14ac:dyDescent="0.25">
      <c r="B8" s="1">
        <v>3.6249999999999998E-2</v>
      </c>
      <c r="C8" t="s">
        <v>0</v>
      </c>
      <c r="D8">
        <v>1459</v>
      </c>
      <c r="E8" s="4">
        <v>42856</v>
      </c>
      <c r="F8" s="4">
        <v>46508</v>
      </c>
      <c r="I8" t="s">
        <v>71</v>
      </c>
      <c r="J8" s="7">
        <v>0.25700000000000001</v>
      </c>
    </row>
    <row r="9" spans="2:10" x14ac:dyDescent="0.25">
      <c r="B9" s="1">
        <v>4.8750000000000002E-2</v>
      </c>
      <c r="C9" t="s">
        <v>0</v>
      </c>
      <c r="D9">
        <v>1600</v>
      </c>
      <c r="E9" s="4">
        <v>43009</v>
      </c>
      <c r="F9" s="4">
        <v>46844</v>
      </c>
    </row>
    <row r="10" spans="2:10" x14ac:dyDescent="0.25">
      <c r="B10" s="1">
        <v>5.8749999999999997E-2</v>
      </c>
      <c r="C10" t="s">
        <v>0</v>
      </c>
      <c r="D10">
        <v>1900</v>
      </c>
      <c r="E10" s="4">
        <v>43191</v>
      </c>
      <c r="F10" s="4">
        <v>47058</v>
      </c>
      <c r="I10" t="s">
        <v>9</v>
      </c>
      <c r="J10" s="8">
        <f>J6*(1-J8)</f>
        <v>3.1514797422092976E-2</v>
      </c>
    </row>
    <row r="11" spans="2:10" x14ac:dyDescent="0.25">
      <c r="B11" s="1">
        <v>4.6249999999999999E-2</v>
      </c>
      <c r="C11" t="s">
        <v>0</v>
      </c>
      <c r="D11">
        <v>1234</v>
      </c>
      <c r="E11" s="4">
        <v>43374</v>
      </c>
      <c r="F11" s="4">
        <v>47239</v>
      </c>
    </row>
    <row r="12" spans="2:10" x14ac:dyDescent="0.25">
      <c r="B12" s="1">
        <v>6.3750000000000001E-2</v>
      </c>
      <c r="C12" t="s">
        <v>0</v>
      </c>
      <c r="D12">
        <v>800</v>
      </c>
      <c r="E12" s="4">
        <v>43374</v>
      </c>
      <c r="F12" s="4">
        <v>47239</v>
      </c>
    </row>
    <row r="13" spans="2:10" x14ac:dyDescent="0.25">
      <c r="B13" s="1">
        <v>3.875E-2</v>
      </c>
      <c r="C13" t="s">
        <v>0</v>
      </c>
      <c r="D13">
        <v>1346</v>
      </c>
      <c r="E13" s="4">
        <v>43556</v>
      </c>
      <c r="F13" s="4">
        <v>47423</v>
      </c>
    </row>
    <row r="14" spans="2:10" x14ac:dyDescent="0.25">
      <c r="B14" s="1">
        <v>5.3749999999999999E-2</v>
      </c>
      <c r="C14" t="s">
        <v>0</v>
      </c>
      <c r="D14">
        <v>900</v>
      </c>
      <c r="E14" s="4">
        <v>43556</v>
      </c>
      <c r="F14" s="4">
        <v>47423</v>
      </c>
    </row>
    <row r="15" spans="2:10" x14ac:dyDescent="0.25">
      <c r="B15" s="1">
        <v>3.6249999999999998E-2</v>
      </c>
      <c r="C15" t="s">
        <v>0</v>
      </c>
      <c r="D15">
        <v>1234</v>
      </c>
      <c r="E15" s="4">
        <v>43739</v>
      </c>
      <c r="F15" s="4">
        <v>47635</v>
      </c>
    </row>
    <row r="16" spans="2:10" x14ac:dyDescent="0.25">
      <c r="B16" s="1">
        <v>4.8750000000000002E-2</v>
      </c>
      <c r="C16" t="s">
        <v>0</v>
      </c>
      <c r="D16">
        <v>1000</v>
      </c>
      <c r="E16" s="4">
        <v>43739</v>
      </c>
      <c r="F16" s="4">
        <v>47635</v>
      </c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AF2D1-1ADE-40E8-A49C-A2A34602A5E6}">
  <dimension ref="A1:V60"/>
  <sheetViews>
    <sheetView workbookViewId="0">
      <selection activeCell="E19" sqref="E19"/>
    </sheetView>
  </sheetViews>
  <sheetFormatPr defaultRowHeight="15" x14ac:dyDescent="0.25"/>
  <cols>
    <col min="1" max="1" width="33.42578125" customWidth="1"/>
    <col min="3" max="3" width="16.42578125" bestFit="1" customWidth="1"/>
    <col min="4" max="4" width="21.42578125" bestFit="1" customWidth="1"/>
    <col min="5" max="5" width="22.7109375" bestFit="1" customWidth="1"/>
    <col min="6" max="6" width="16.42578125" customWidth="1"/>
    <col min="8" max="8" width="9.7109375" bestFit="1" customWidth="1"/>
    <col min="10" max="10" width="22.7109375" bestFit="1" customWidth="1"/>
    <col min="12" max="12" width="23.5703125" bestFit="1" customWidth="1"/>
  </cols>
  <sheetData>
    <row r="1" spans="1:22" x14ac:dyDescent="0.25">
      <c r="H1" t="s">
        <v>33</v>
      </c>
      <c r="I1" t="s">
        <v>34</v>
      </c>
      <c r="J1" t="s">
        <v>36</v>
      </c>
      <c r="K1" t="s">
        <v>35</v>
      </c>
      <c r="L1" t="s">
        <v>37</v>
      </c>
      <c r="N1" t="s">
        <v>38</v>
      </c>
    </row>
    <row r="2" spans="1:22" ht="15.75" thickBot="1" x14ac:dyDescent="0.3">
      <c r="A2" s="9" t="s">
        <v>11</v>
      </c>
      <c r="H2" s="14">
        <v>43800</v>
      </c>
      <c r="I2">
        <v>323.57000699999998</v>
      </c>
      <c r="J2" s="16">
        <f>I2/I3-1</f>
        <v>2.8316287061383116E-2</v>
      </c>
      <c r="K2">
        <v>3230.780029</v>
      </c>
      <c r="L2" s="15">
        <f>K2/K3-1</f>
        <v>2.8589818964716907E-2</v>
      </c>
    </row>
    <row r="3" spans="1:22" ht="15.75" thickBot="1" x14ac:dyDescent="0.3">
      <c r="A3" s="10" t="s">
        <v>12</v>
      </c>
      <c r="B3" s="11">
        <v>6.3E-3</v>
      </c>
      <c r="E3" t="s">
        <v>30</v>
      </c>
      <c r="F3" s="8">
        <f>B3</f>
        <v>6.3E-3</v>
      </c>
      <c r="H3" s="14">
        <v>43770</v>
      </c>
      <c r="I3">
        <v>314.66000400000001</v>
      </c>
      <c r="J3" s="16">
        <f t="shared" ref="J3:J60" si="0">I3/I4-1</f>
        <v>9.4812287744862278E-2</v>
      </c>
      <c r="K3">
        <v>3140.9799800000001</v>
      </c>
      <c r="L3" s="15">
        <f t="shared" ref="L3:L60" si="1">K3/K4-1</f>
        <v>3.4047037421886195E-2</v>
      </c>
      <c r="N3" s="20" t="s">
        <v>39</v>
      </c>
      <c r="O3" s="20"/>
    </row>
    <row r="4" spans="1:22" ht="15.75" thickBot="1" x14ac:dyDescent="0.3">
      <c r="A4" s="10" t="s">
        <v>13</v>
      </c>
      <c r="B4" s="12" t="s">
        <v>14</v>
      </c>
      <c r="E4" t="s">
        <v>31</v>
      </c>
      <c r="H4" s="14">
        <v>43739</v>
      </c>
      <c r="I4">
        <v>287.41000400000001</v>
      </c>
      <c r="J4" s="16">
        <f t="shared" si="0"/>
        <v>7.3948170427250659E-2</v>
      </c>
      <c r="K4">
        <v>3037.5600589999999</v>
      </c>
      <c r="L4" s="15">
        <f t="shared" si="1"/>
        <v>2.0431770730503063E-2</v>
      </c>
      <c r="N4" s="17" t="s">
        <v>40</v>
      </c>
      <c r="O4" s="17">
        <v>0.41986079804713344</v>
      </c>
    </row>
    <row r="5" spans="1:22" ht="15.75" thickBot="1" x14ac:dyDescent="0.3">
      <c r="A5" s="10" t="s">
        <v>15</v>
      </c>
      <c r="B5" s="12" t="s">
        <v>16</v>
      </c>
      <c r="E5" t="s">
        <v>32</v>
      </c>
      <c r="F5">
        <f>O18</f>
        <v>1.4852274343564613</v>
      </c>
      <c r="H5" s="14">
        <v>43709</v>
      </c>
      <c r="I5">
        <v>267.61999500000002</v>
      </c>
      <c r="J5" s="16">
        <f t="shared" si="0"/>
        <v>-8.895320851063826E-2</v>
      </c>
      <c r="K5">
        <v>2976.73999</v>
      </c>
      <c r="L5" s="15">
        <f t="shared" si="1"/>
        <v>1.7181177829208583E-2</v>
      </c>
      <c r="N5" s="17" t="s">
        <v>41</v>
      </c>
      <c r="O5" s="17">
        <v>0.17628308973677576</v>
      </c>
    </row>
    <row r="6" spans="1:22" ht="15.75" thickBot="1" x14ac:dyDescent="0.3">
      <c r="A6" s="10" t="s">
        <v>17</v>
      </c>
      <c r="B6" s="12" t="s">
        <v>18</v>
      </c>
      <c r="E6" t="s">
        <v>31</v>
      </c>
      <c r="F6" s="21">
        <f>AVERAGE(L2:L59)</f>
        <v>7.9989061433535791E-3</v>
      </c>
      <c r="H6" s="14">
        <v>43678</v>
      </c>
      <c r="I6">
        <v>293.75</v>
      </c>
      <c r="J6" s="16">
        <f t="shared" si="0"/>
        <v>-9.0529090390695899E-2</v>
      </c>
      <c r="K6">
        <v>2926.459961</v>
      </c>
      <c r="L6" s="15">
        <f t="shared" si="1"/>
        <v>-1.8091627281326739E-2</v>
      </c>
      <c r="N6" s="17" t="s">
        <v>42</v>
      </c>
      <c r="O6" s="17">
        <v>0.16157385919636105</v>
      </c>
    </row>
    <row r="7" spans="1:22" ht="15.75" thickBot="1" x14ac:dyDescent="0.3">
      <c r="A7" s="10" t="s">
        <v>19</v>
      </c>
      <c r="B7" s="11">
        <v>4.48E-2</v>
      </c>
      <c r="H7" s="14">
        <v>43647</v>
      </c>
      <c r="I7">
        <v>322.98998999999998</v>
      </c>
      <c r="J7" s="16">
        <f t="shared" si="0"/>
        <v>-0.12068500532289272</v>
      </c>
      <c r="K7">
        <v>2980.3798830000001</v>
      </c>
      <c r="L7" s="15">
        <f t="shared" si="1"/>
        <v>1.3128152149977756E-2</v>
      </c>
      <c r="N7" s="17" t="s">
        <v>43</v>
      </c>
      <c r="O7" s="17">
        <v>0.11106754186617644</v>
      </c>
    </row>
    <row r="8" spans="1:22" ht="15.75" thickBot="1" x14ac:dyDescent="0.3">
      <c r="A8" s="10" t="s">
        <v>20</v>
      </c>
      <c r="B8" s="11">
        <v>2.53E-2</v>
      </c>
      <c r="F8" s="22"/>
      <c r="H8" s="14">
        <v>43617</v>
      </c>
      <c r="I8">
        <v>367.32000699999998</v>
      </c>
      <c r="J8" s="16">
        <f t="shared" si="0"/>
        <v>7.0030319476900305E-2</v>
      </c>
      <c r="K8">
        <v>2941.76001</v>
      </c>
      <c r="L8" s="15">
        <f t="shared" si="1"/>
        <v>6.8930163925612131E-2</v>
      </c>
      <c r="N8" s="18" t="s">
        <v>44</v>
      </c>
      <c r="O8" s="18">
        <v>58</v>
      </c>
    </row>
    <row r="9" spans="1:22" ht="15.75" thickBot="1" x14ac:dyDescent="0.3">
      <c r="A9" s="10" t="s">
        <v>21</v>
      </c>
      <c r="B9" s="11">
        <v>-0.75890000000000002</v>
      </c>
      <c r="H9" s="14">
        <v>43586</v>
      </c>
      <c r="I9">
        <v>343.27999899999998</v>
      </c>
      <c r="J9" s="16">
        <f t="shared" si="0"/>
        <v>-7.3568330916729763E-2</v>
      </c>
      <c r="K9">
        <v>2752.0600589999999</v>
      </c>
      <c r="L9" s="15">
        <f t="shared" si="1"/>
        <v>-6.577773118928687E-2</v>
      </c>
    </row>
    <row r="10" spans="1:22" ht="15.75" thickBot="1" x14ac:dyDescent="0.3">
      <c r="A10" s="10" t="s">
        <v>22</v>
      </c>
      <c r="B10" s="12" t="s">
        <v>23</v>
      </c>
      <c r="H10" s="14">
        <v>43556</v>
      </c>
      <c r="I10">
        <v>370.540009</v>
      </c>
      <c r="J10" s="16">
        <f t="shared" si="0"/>
        <v>3.9208018505766384E-2</v>
      </c>
      <c r="K10">
        <v>2945.830078</v>
      </c>
      <c r="L10" s="15">
        <f t="shared" si="1"/>
        <v>3.9313498395682656E-2</v>
      </c>
      <c r="N10" t="s">
        <v>45</v>
      </c>
    </row>
    <row r="11" spans="1:22" ht="15.75" thickBot="1" x14ac:dyDescent="0.3">
      <c r="A11" s="10" t="s">
        <v>24</v>
      </c>
      <c r="B11" s="12" t="s">
        <v>25</v>
      </c>
      <c r="H11" s="14">
        <v>43525</v>
      </c>
      <c r="I11">
        <v>356.55999800000001</v>
      </c>
      <c r="J11" s="16">
        <f t="shared" si="0"/>
        <v>-4.3004969958029271E-3</v>
      </c>
      <c r="K11">
        <v>2834.3999020000001</v>
      </c>
      <c r="L11" s="15">
        <f t="shared" si="1"/>
        <v>1.7924256211817147E-2</v>
      </c>
      <c r="N11" s="19"/>
      <c r="O11" s="19" t="s">
        <v>50</v>
      </c>
      <c r="P11" s="19" t="s">
        <v>51</v>
      </c>
      <c r="Q11" s="19" t="s">
        <v>52</v>
      </c>
      <c r="R11" s="19" t="s">
        <v>53</v>
      </c>
      <c r="S11" s="19" t="s">
        <v>54</v>
      </c>
    </row>
    <row r="12" spans="1:22" ht="15.75" thickBot="1" x14ac:dyDescent="0.3">
      <c r="A12" s="10" t="s">
        <v>26</v>
      </c>
      <c r="B12" s="12" t="s">
        <v>27</v>
      </c>
      <c r="H12" s="14">
        <v>43497</v>
      </c>
      <c r="I12">
        <v>358.10000600000001</v>
      </c>
      <c r="J12" s="16">
        <f t="shared" si="0"/>
        <v>5.478646833578793E-2</v>
      </c>
      <c r="K12">
        <v>2784.48999</v>
      </c>
      <c r="L12" s="15">
        <f t="shared" si="1"/>
        <v>2.9728889126352298E-2</v>
      </c>
      <c r="N12" s="17" t="s">
        <v>46</v>
      </c>
      <c r="O12" s="17">
        <v>1</v>
      </c>
      <c r="P12" s="17">
        <v>0.14784104358038352</v>
      </c>
      <c r="Q12" s="17">
        <v>0.14784104358038352</v>
      </c>
      <c r="R12" s="17">
        <v>11.984521505215699</v>
      </c>
      <c r="S12" s="17">
        <v>1.0343606386934222E-3</v>
      </c>
    </row>
    <row r="13" spans="1:22" ht="15.75" thickBot="1" x14ac:dyDescent="0.3">
      <c r="A13" s="10" t="s">
        <v>28</v>
      </c>
      <c r="B13" s="13" t="s">
        <v>29</v>
      </c>
      <c r="H13" s="14">
        <v>43466</v>
      </c>
      <c r="I13">
        <v>339.5</v>
      </c>
      <c r="J13" s="16">
        <f t="shared" si="0"/>
        <v>0.26840019026525908</v>
      </c>
      <c r="K13">
        <v>2704.1000979999999</v>
      </c>
      <c r="L13" s="15">
        <f t="shared" si="1"/>
        <v>7.8684401655036762E-2</v>
      </c>
      <c r="N13" s="17" t="s">
        <v>47</v>
      </c>
      <c r="O13" s="17">
        <v>56</v>
      </c>
      <c r="P13" s="17">
        <v>0.69081593594691193</v>
      </c>
      <c r="Q13" s="17">
        <v>1.2335998856194855E-2</v>
      </c>
      <c r="R13" s="17"/>
      <c r="S13" s="17"/>
    </row>
    <row r="14" spans="1:22" ht="15.75" thickBot="1" x14ac:dyDescent="0.3">
      <c r="H14" s="14">
        <v>43435</v>
      </c>
      <c r="I14">
        <v>267.66000400000001</v>
      </c>
      <c r="J14" s="16">
        <f t="shared" si="0"/>
        <v>-6.455108054815839E-2</v>
      </c>
      <c r="K14">
        <v>2506.8500979999999</v>
      </c>
      <c r="L14" s="15">
        <f t="shared" si="1"/>
        <v>-9.1776894596563907E-2</v>
      </c>
      <c r="N14" s="18" t="s">
        <v>48</v>
      </c>
      <c r="O14" s="18">
        <v>57</v>
      </c>
      <c r="P14" s="18">
        <v>0.83865697952729545</v>
      </c>
      <c r="Q14" s="18"/>
      <c r="R14" s="18"/>
      <c r="S14" s="18"/>
    </row>
    <row r="15" spans="1:22" ht="15.75" thickBot="1" x14ac:dyDescent="0.3">
      <c r="H15" s="14">
        <v>43405</v>
      </c>
      <c r="I15">
        <v>286.13000499999998</v>
      </c>
      <c r="J15" s="16">
        <f t="shared" si="0"/>
        <v>-5.1858950400486936E-2</v>
      </c>
      <c r="K15">
        <v>2760.169922</v>
      </c>
      <c r="L15" s="15">
        <f t="shared" si="1"/>
        <v>1.7859356788848979E-2</v>
      </c>
    </row>
    <row r="16" spans="1:22" x14ac:dyDescent="0.25">
      <c r="A16" s="23" t="s">
        <v>10</v>
      </c>
      <c r="B16" t="s">
        <v>32</v>
      </c>
      <c r="C16" t="s">
        <v>62</v>
      </c>
      <c r="D16" t="s">
        <v>63</v>
      </c>
      <c r="E16" t="s">
        <v>64</v>
      </c>
      <c r="H16" s="14">
        <v>43374</v>
      </c>
      <c r="I16">
        <v>301.77999899999998</v>
      </c>
      <c r="J16" s="16">
        <f t="shared" si="0"/>
        <v>-0.19338199297861713</v>
      </c>
      <c r="K16">
        <v>2711.73999</v>
      </c>
      <c r="L16" s="15">
        <f t="shared" si="1"/>
        <v>-6.9403356024429486E-2</v>
      </c>
      <c r="N16" s="19"/>
      <c r="O16" s="19" t="s">
        <v>55</v>
      </c>
      <c r="P16" s="19" t="s">
        <v>43</v>
      </c>
      <c r="Q16" s="19" t="s">
        <v>56</v>
      </c>
      <c r="R16" s="19" t="s">
        <v>57</v>
      </c>
      <c r="S16" s="19" t="s">
        <v>58</v>
      </c>
      <c r="T16" s="19" t="s">
        <v>59</v>
      </c>
      <c r="U16" s="19" t="s">
        <v>60</v>
      </c>
      <c r="V16" s="19" t="s">
        <v>61</v>
      </c>
    </row>
    <row r="17" spans="1:22" x14ac:dyDescent="0.25">
      <c r="H17" s="14">
        <v>43344</v>
      </c>
      <c r="I17">
        <v>374.13000499999998</v>
      </c>
      <c r="J17" s="16">
        <f t="shared" si="0"/>
        <v>1.7542461169487655E-2</v>
      </c>
      <c r="K17">
        <v>2913.9799800000001</v>
      </c>
      <c r="L17" s="15">
        <f t="shared" si="1"/>
        <v>4.2942871026614426E-3</v>
      </c>
      <c r="N17" s="17" t="s">
        <v>49</v>
      </c>
      <c r="O17" s="17">
        <v>2.2191289269564329E-2</v>
      </c>
      <c r="P17" s="17">
        <v>1.4982203169761852E-2</v>
      </c>
      <c r="Q17" s="17">
        <v>1.4811766345788426</v>
      </c>
      <c r="R17" s="17">
        <v>0.14416457391977308</v>
      </c>
      <c r="S17" s="17">
        <v>-7.8216701781542788E-3</v>
      </c>
      <c r="T17" s="17">
        <v>5.2204248717282936E-2</v>
      </c>
      <c r="U17" s="17">
        <v>-7.8216701781542788E-3</v>
      </c>
      <c r="V17" s="17">
        <v>5.2204248717282936E-2</v>
      </c>
    </row>
    <row r="18" spans="1:22" ht="15.75" thickBot="1" x14ac:dyDescent="0.3">
      <c r="A18" s="8">
        <f>F3</f>
        <v>6.3E-3</v>
      </c>
      <c r="B18">
        <f>F5</f>
        <v>1.4852274343564613</v>
      </c>
      <c r="C18" s="21">
        <f>F6-F3</f>
        <v>1.698906143353579E-3</v>
      </c>
      <c r="D18">
        <f>C18*B18</f>
        <v>2.5232620125054668E-3</v>
      </c>
      <c r="E18" s="8">
        <f>A18+D18</f>
        <v>8.8232620125054673E-3</v>
      </c>
      <c r="H18" s="14">
        <v>43313</v>
      </c>
      <c r="I18">
        <v>367.67999300000002</v>
      </c>
      <c r="J18" s="16">
        <f t="shared" si="0"/>
        <v>8.9583582530736505E-2</v>
      </c>
      <c r="K18">
        <v>2901.5200199999999</v>
      </c>
      <c r="L18" s="15">
        <f t="shared" si="1"/>
        <v>3.0263211466054596E-2</v>
      </c>
      <c r="N18" s="18" t="s">
        <v>37</v>
      </c>
      <c r="O18" s="18">
        <v>1.4852274343564613</v>
      </c>
      <c r="P18" s="18">
        <v>0.42902501302566448</v>
      </c>
      <c r="Q18" s="18">
        <v>3.4618667659538405</v>
      </c>
      <c r="R18" s="18">
        <v>1.0343606386934222E-3</v>
      </c>
      <c r="S18" s="18">
        <v>0.62578705885921126</v>
      </c>
      <c r="T18" s="18">
        <v>2.3446678098537115</v>
      </c>
      <c r="U18" s="18">
        <v>0.62578705885921126</v>
      </c>
      <c r="V18" s="18">
        <v>2.3446678098537115</v>
      </c>
    </row>
    <row r="19" spans="1:22" x14ac:dyDescent="0.25">
      <c r="H19" s="14">
        <v>43282</v>
      </c>
      <c r="I19">
        <v>337.45001200000002</v>
      </c>
      <c r="J19" s="16">
        <f t="shared" si="0"/>
        <v>-0.13790456011376728</v>
      </c>
      <c r="K19">
        <v>2816.290039</v>
      </c>
      <c r="L19" s="15">
        <f t="shared" si="1"/>
        <v>3.6021556221367268E-2</v>
      </c>
    </row>
    <row r="20" spans="1:22" x14ac:dyDescent="0.25">
      <c r="H20" s="14">
        <v>43252</v>
      </c>
      <c r="I20">
        <v>391.42999300000002</v>
      </c>
      <c r="J20" s="16">
        <f t="shared" si="0"/>
        <v>0.11328209988710869</v>
      </c>
      <c r="K20">
        <v>2718.3701169999999</v>
      </c>
      <c r="L20" s="15">
        <f t="shared" si="1"/>
        <v>4.8424360241865472E-3</v>
      </c>
    </row>
    <row r="21" spans="1:22" x14ac:dyDescent="0.25">
      <c r="H21" s="14">
        <v>43221</v>
      </c>
      <c r="I21">
        <v>351.60000600000001</v>
      </c>
      <c r="J21" s="16">
        <f t="shared" si="0"/>
        <v>0.12526408541053824</v>
      </c>
      <c r="K21">
        <v>2705.2700199999999</v>
      </c>
      <c r="L21" s="15">
        <f t="shared" si="1"/>
        <v>2.1608341965291933E-2</v>
      </c>
    </row>
    <row r="22" spans="1:22" x14ac:dyDescent="0.25">
      <c r="H22" s="14">
        <v>43191</v>
      </c>
      <c r="I22">
        <v>312.459991</v>
      </c>
      <c r="J22" s="16">
        <f t="shared" si="0"/>
        <v>5.7931216023066501E-2</v>
      </c>
      <c r="K22">
        <v>2648.0500489999999</v>
      </c>
      <c r="L22" s="15">
        <f t="shared" si="1"/>
        <v>2.718775131643536E-3</v>
      </c>
    </row>
    <row r="23" spans="1:22" x14ac:dyDescent="0.25">
      <c r="H23" s="14">
        <v>43160</v>
      </c>
      <c r="I23">
        <v>295.35000600000001</v>
      </c>
      <c r="J23" s="16">
        <f t="shared" si="0"/>
        <v>1.3624823021058052E-2</v>
      </c>
      <c r="K23">
        <v>2640.8701169999999</v>
      </c>
      <c r="L23" s="15">
        <f t="shared" si="1"/>
        <v>-2.6884498624825115E-2</v>
      </c>
    </row>
    <row r="24" spans="1:22" x14ac:dyDescent="0.25">
      <c r="H24" s="14">
        <v>43132</v>
      </c>
      <c r="I24">
        <v>291.38000499999998</v>
      </c>
      <c r="J24" s="16">
        <f t="shared" si="0"/>
        <v>7.7987487738993222E-2</v>
      </c>
      <c r="K24">
        <v>2713.830078</v>
      </c>
      <c r="L24" s="15">
        <f t="shared" si="1"/>
        <v>-3.8947372061896912E-2</v>
      </c>
    </row>
    <row r="25" spans="1:22" x14ac:dyDescent="0.25">
      <c r="H25" s="14">
        <v>43101</v>
      </c>
      <c r="I25">
        <v>270.29998799999998</v>
      </c>
      <c r="J25" s="16">
        <f t="shared" si="0"/>
        <v>0.40810574152562928</v>
      </c>
      <c r="K25">
        <v>2823.8100589999999</v>
      </c>
      <c r="L25" s="15">
        <f t="shared" si="1"/>
        <v>5.6178704444133087E-2</v>
      </c>
    </row>
    <row r="26" spans="1:22" x14ac:dyDescent="0.25">
      <c r="H26" s="14">
        <v>43070</v>
      </c>
      <c r="I26">
        <v>191.96000699999999</v>
      </c>
      <c r="J26" s="16">
        <f t="shared" si="0"/>
        <v>-1.8157578081877679E-2</v>
      </c>
      <c r="K26">
        <v>2673.610107</v>
      </c>
      <c r="L26" s="15">
        <f t="shared" si="1"/>
        <v>3.4342557364422932E-2</v>
      </c>
    </row>
    <row r="27" spans="1:22" x14ac:dyDescent="0.25">
      <c r="H27" s="14">
        <v>43040</v>
      </c>
      <c r="I27">
        <v>195.509995</v>
      </c>
      <c r="J27" s="16">
        <f t="shared" si="0"/>
        <v>-4.6835922862349388E-3</v>
      </c>
      <c r="K27">
        <v>2584.8400879999999</v>
      </c>
      <c r="L27" s="15">
        <f t="shared" si="1"/>
        <v>3.7200430103365711E-3</v>
      </c>
    </row>
    <row r="28" spans="1:22" x14ac:dyDescent="0.25">
      <c r="H28" s="14">
        <v>43009</v>
      </c>
      <c r="I28">
        <v>196.429993</v>
      </c>
      <c r="J28" s="16">
        <f t="shared" si="0"/>
        <v>8.3154047428043665E-2</v>
      </c>
      <c r="K28">
        <v>2575.26001</v>
      </c>
      <c r="L28" s="15">
        <f t="shared" si="1"/>
        <v>2.218813533034969E-2</v>
      </c>
    </row>
    <row r="29" spans="1:22" x14ac:dyDescent="0.25">
      <c r="H29" s="14">
        <v>42979</v>
      </c>
      <c r="I29">
        <v>181.35000600000001</v>
      </c>
      <c r="J29" s="16">
        <f t="shared" si="0"/>
        <v>3.8005830999709334E-2</v>
      </c>
      <c r="K29">
        <v>2519.360107</v>
      </c>
      <c r="L29" s="15">
        <f t="shared" si="1"/>
        <v>1.9302978533243698E-2</v>
      </c>
    </row>
    <row r="30" spans="1:22" x14ac:dyDescent="0.25">
      <c r="H30" s="14">
        <v>42948</v>
      </c>
      <c r="I30">
        <v>174.71000699999999</v>
      </c>
      <c r="J30" s="16">
        <f t="shared" si="0"/>
        <v>-3.8258267350913422E-2</v>
      </c>
      <c r="K30">
        <v>2471.6499020000001</v>
      </c>
      <c r="L30" s="15">
        <f t="shared" si="1"/>
        <v>5.4643281108557318E-4</v>
      </c>
    </row>
    <row r="31" spans="1:22" x14ac:dyDescent="0.25">
      <c r="H31" s="14">
        <v>42917</v>
      </c>
      <c r="I31">
        <v>181.66000399999999</v>
      </c>
      <c r="J31" s="16">
        <f t="shared" si="0"/>
        <v>0.21584900031192022</v>
      </c>
      <c r="K31">
        <v>2470.3000489999999</v>
      </c>
      <c r="L31" s="15">
        <f t="shared" si="1"/>
        <v>1.9348826118030571E-2</v>
      </c>
    </row>
    <row r="32" spans="1:22" x14ac:dyDescent="0.25">
      <c r="H32" s="14">
        <v>42887</v>
      </c>
      <c r="I32">
        <v>149.41000399999999</v>
      </c>
      <c r="J32" s="16">
        <f t="shared" si="0"/>
        <v>-8.3767721920806837E-2</v>
      </c>
      <c r="K32">
        <v>2423.4099120000001</v>
      </c>
      <c r="L32" s="15">
        <f t="shared" si="1"/>
        <v>4.8137750908554544E-3</v>
      </c>
    </row>
    <row r="33" spans="8:12" x14ac:dyDescent="0.25">
      <c r="H33" s="14">
        <v>42856</v>
      </c>
      <c r="I33">
        <v>163.070007</v>
      </c>
      <c r="J33" s="16">
        <f t="shared" si="0"/>
        <v>7.1419252393283505E-2</v>
      </c>
      <c r="K33">
        <v>2411.8000489999999</v>
      </c>
      <c r="L33" s="15">
        <f t="shared" si="1"/>
        <v>1.157625139134133E-2</v>
      </c>
    </row>
    <row r="34" spans="8:12" x14ac:dyDescent="0.25">
      <c r="H34" s="14">
        <v>42826</v>
      </c>
      <c r="I34">
        <v>152.199997</v>
      </c>
      <c r="J34" s="16">
        <f t="shared" si="0"/>
        <v>2.9700284550440159E-2</v>
      </c>
      <c r="K34">
        <v>2384.1999510000001</v>
      </c>
      <c r="L34" s="15">
        <f t="shared" si="1"/>
        <v>9.0912085493182193E-3</v>
      </c>
    </row>
    <row r="35" spans="8:12" x14ac:dyDescent="0.25">
      <c r="H35" s="14">
        <v>42795</v>
      </c>
      <c r="I35">
        <v>147.80999800000001</v>
      </c>
      <c r="J35" s="16">
        <f t="shared" si="0"/>
        <v>3.9963363119560835E-2</v>
      </c>
      <c r="K35">
        <v>2362.719971</v>
      </c>
      <c r="L35" s="15">
        <f t="shared" si="1"/>
        <v>-3.8919718808450021E-4</v>
      </c>
    </row>
    <row r="36" spans="8:12" x14ac:dyDescent="0.25">
      <c r="H36" s="14">
        <v>42767</v>
      </c>
      <c r="I36">
        <v>142.13000500000001</v>
      </c>
      <c r="J36" s="16">
        <f t="shared" si="0"/>
        <v>1.0091663203456669E-2</v>
      </c>
      <c r="K36">
        <v>2363.639893</v>
      </c>
      <c r="L36" s="15">
        <f t="shared" si="1"/>
        <v>3.7198160337279074E-2</v>
      </c>
    </row>
    <row r="37" spans="8:12" x14ac:dyDescent="0.25">
      <c r="H37" s="14">
        <v>42736</v>
      </c>
      <c r="I37">
        <v>140.71000699999999</v>
      </c>
      <c r="J37" s="16">
        <f t="shared" si="0"/>
        <v>0.13659130525223007</v>
      </c>
      <c r="K37">
        <v>2278.8701169999999</v>
      </c>
      <c r="L37" s="15">
        <f t="shared" si="1"/>
        <v>1.7884358171464498E-2</v>
      </c>
    </row>
    <row r="38" spans="8:12" x14ac:dyDescent="0.25">
      <c r="H38" s="14">
        <v>42705</v>
      </c>
      <c r="I38">
        <v>123.800003</v>
      </c>
      <c r="J38" s="16">
        <f t="shared" si="0"/>
        <v>5.8119683760683882E-2</v>
      </c>
      <c r="K38">
        <v>2238.830078</v>
      </c>
      <c r="L38" s="15">
        <f t="shared" si="1"/>
        <v>1.8200762196895148E-2</v>
      </c>
    </row>
    <row r="39" spans="8:12" x14ac:dyDescent="0.25">
      <c r="H39" s="14">
        <v>42675</v>
      </c>
      <c r="I39">
        <v>117</v>
      </c>
      <c r="J39" s="16">
        <f t="shared" si="0"/>
        <v>-6.3025569079228738E-2</v>
      </c>
      <c r="K39">
        <v>2198.8100589999999</v>
      </c>
      <c r="L39" s="15">
        <f t="shared" si="1"/>
        <v>3.4174522187570444E-2</v>
      </c>
    </row>
    <row r="40" spans="8:12" x14ac:dyDescent="0.25">
      <c r="H40" s="14">
        <v>42644</v>
      </c>
      <c r="I40">
        <v>124.870003</v>
      </c>
      <c r="J40" s="16">
        <f t="shared" si="0"/>
        <v>0.26707254387399648</v>
      </c>
      <c r="K40">
        <v>2126.1499020000001</v>
      </c>
      <c r="L40" s="15">
        <f t="shared" si="1"/>
        <v>-1.9425679279557517E-2</v>
      </c>
    </row>
    <row r="41" spans="8:12" x14ac:dyDescent="0.25">
      <c r="H41" s="14">
        <v>42614</v>
      </c>
      <c r="I41">
        <v>98.550003000000004</v>
      </c>
      <c r="J41" s="16">
        <f t="shared" si="0"/>
        <v>1.1287901835440817E-2</v>
      </c>
      <c r="K41">
        <v>2168.2700199999999</v>
      </c>
      <c r="L41" s="15">
        <f t="shared" si="1"/>
        <v>-1.2344508443253854E-3</v>
      </c>
    </row>
    <row r="42" spans="8:12" x14ac:dyDescent="0.25">
      <c r="H42" s="14">
        <v>42583</v>
      </c>
      <c r="I42">
        <v>97.449996999999996</v>
      </c>
      <c r="J42" s="16">
        <f t="shared" si="0"/>
        <v>6.7945172602739579E-2</v>
      </c>
      <c r="K42">
        <v>2170.9499510000001</v>
      </c>
      <c r="L42" s="15">
        <f t="shared" si="1"/>
        <v>-1.2192431360480427E-3</v>
      </c>
    </row>
    <row r="43" spans="8:12" x14ac:dyDescent="0.25">
      <c r="H43" s="14">
        <v>42552</v>
      </c>
      <c r="I43">
        <v>91.25</v>
      </c>
      <c r="J43" s="16">
        <f t="shared" si="0"/>
        <v>-2.5142434680505144E-3</v>
      </c>
      <c r="K43">
        <v>2173.6000979999999</v>
      </c>
      <c r="L43" s="15">
        <f t="shared" si="1"/>
        <v>3.5609801125254359E-2</v>
      </c>
    </row>
    <row r="44" spans="8:12" x14ac:dyDescent="0.25">
      <c r="H44" s="14">
        <v>42522</v>
      </c>
      <c r="I44">
        <v>91.480002999999996</v>
      </c>
      <c r="J44" s="16">
        <f t="shared" si="0"/>
        <v>-0.10812125377790771</v>
      </c>
      <c r="K44">
        <v>2098.860107</v>
      </c>
      <c r="L44" s="15">
        <f t="shared" si="1"/>
        <v>9.1092112097812539E-4</v>
      </c>
    </row>
    <row r="45" spans="8:12" x14ac:dyDescent="0.25">
      <c r="H45" s="14">
        <v>42491</v>
      </c>
      <c r="I45">
        <v>102.57</v>
      </c>
      <c r="J45" s="16">
        <f t="shared" si="0"/>
        <v>0.13928691701973683</v>
      </c>
      <c r="K45">
        <v>2096.9499510000001</v>
      </c>
      <c r="L45" s="15">
        <f t="shared" si="1"/>
        <v>1.5324602357572603E-2</v>
      </c>
    </row>
    <row r="46" spans="8:12" x14ac:dyDescent="0.25">
      <c r="H46" s="14">
        <v>42461</v>
      </c>
      <c r="I46">
        <v>90.029999000000004</v>
      </c>
      <c r="J46" s="16">
        <f t="shared" si="0"/>
        <v>-0.11933878159037126</v>
      </c>
      <c r="K46">
        <v>2065.3000489999999</v>
      </c>
      <c r="L46" s="15">
        <f t="shared" si="1"/>
        <v>2.6993984808731941E-3</v>
      </c>
    </row>
    <row r="47" spans="8:12" x14ac:dyDescent="0.25">
      <c r="H47" s="14">
        <v>42430</v>
      </c>
      <c r="I47">
        <v>102.230003</v>
      </c>
      <c r="J47" s="16">
        <f t="shared" si="0"/>
        <v>9.4422423962212898E-2</v>
      </c>
      <c r="K47">
        <v>2059.73999</v>
      </c>
      <c r="L47" s="15">
        <f t="shared" si="1"/>
        <v>6.5991114577365062E-2</v>
      </c>
    </row>
    <row r="48" spans="8:12" x14ac:dyDescent="0.25">
      <c r="H48" s="14">
        <v>42401</v>
      </c>
      <c r="I48">
        <v>93.410004000000001</v>
      </c>
      <c r="J48" s="16">
        <f t="shared" si="0"/>
        <v>1.7095035587762819E-2</v>
      </c>
      <c r="K48">
        <v>1932.2299800000001</v>
      </c>
      <c r="L48" s="15">
        <f t="shared" si="1"/>
        <v>-4.1283604302990717E-3</v>
      </c>
    </row>
    <row r="49" spans="8:12" x14ac:dyDescent="0.25">
      <c r="H49" s="14">
        <v>42370</v>
      </c>
      <c r="I49">
        <v>91.839995999999999</v>
      </c>
      <c r="J49" s="16">
        <f t="shared" si="0"/>
        <v>-0.19706243741202412</v>
      </c>
      <c r="K49">
        <v>1940.23999</v>
      </c>
      <c r="L49" s="15">
        <f t="shared" si="1"/>
        <v>-5.073532197294639E-2</v>
      </c>
    </row>
    <row r="50" spans="8:12" x14ac:dyDescent="0.25">
      <c r="H50" s="14">
        <v>42339</v>
      </c>
      <c r="I50">
        <v>114.379997</v>
      </c>
      <c r="J50" s="16">
        <f t="shared" si="0"/>
        <v>-7.2569568270987261E-2</v>
      </c>
      <c r="K50">
        <v>2043.9399410000001</v>
      </c>
      <c r="L50" s="15">
        <f t="shared" si="1"/>
        <v>-1.7530185176314439E-2</v>
      </c>
    </row>
    <row r="51" spans="8:12" x14ac:dyDescent="0.25">
      <c r="H51" s="14">
        <v>42309</v>
      </c>
      <c r="I51">
        <v>123.33000199999999</v>
      </c>
      <c r="J51" s="16">
        <f t="shared" si="0"/>
        <v>0.13794062939492413</v>
      </c>
      <c r="K51">
        <v>2080.4099120000001</v>
      </c>
      <c r="L51" s="15">
        <f t="shared" si="1"/>
        <v>5.0486926072412786E-4</v>
      </c>
    </row>
    <row r="52" spans="8:12" x14ac:dyDescent="0.25">
      <c r="H52" s="14">
        <v>42278</v>
      </c>
      <c r="I52">
        <v>108.379997</v>
      </c>
      <c r="J52" s="16">
        <f t="shared" si="0"/>
        <v>4.9583526058812222E-2</v>
      </c>
      <c r="K52">
        <v>2079.360107</v>
      </c>
      <c r="L52" s="15">
        <f t="shared" si="1"/>
        <v>8.2983117760394132E-2</v>
      </c>
    </row>
    <row r="53" spans="8:12" x14ac:dyDescent="0.25">
      <c r="H53" s="14">
        <v>42248</v>
      </c>
      <c r="I53">
        <v>103.260002</v>
      </c>
      <c r="J53" s="16">
        <f t="shared" si="0"/>
        <v>-0.10232110842668096</v>
      </c>
      <c r="K53">
        <v>1920.030029</v>
      </c>
      <c r="L53" s="15">
        <f t="shared" si="1"/>
        <v>-2.6442831573227132E-2</v>
      </c>
    </row>
    <row r="54" spans="8:12" x14ac:dyDescent="0.25">
      <c r="H54" s="14">
        <v>42217</v>
      </c>
      <c r="I54">
        <v>115.029999</v>
      </c>
      <c r="J54" s="16">
        <f t="shared" si="0"/>
        <v>6.2986703927683241E-3</v>
      </c>
      <c r="K54">
        <v>1972.1800539999999</v>
      </c>
      <c r="L54" s="15">
        <f t="shared" si="1"/>
        <v>-6.2580818167202845E-2</v>
      </c>
    </row>
    <row r="55" spans="8:12" x14ac:dyDescent="0.25">
      <c r="H55" s="14">
        <v>42186</v>
      </c>
      <c r="I55">
        <v>114.30999799999999</v>
      </c>
      <c r="J55" s="16">
        <f t="shared" si="0"/>
        <v>0.21802597060294104</v>
      </c>
      <c r="K55">
        <v>2103.8400879999999</v>
      </c>
      <c r="L55" s="15">
        <f t="shared" si="1"/>
        <v>1.9742029696721453E-2</v>
      </c>
    </row>
    <row r="56" spans="8:12" x14ac:dyDescent="0.25">
      <c r="H56" s="14">
        <v>42156</v>
      </c>
      <c r="I56">
        <v>93.848572000000004</v>
      </c>
      <c r="J56" s="16">
        <f t="shared" si="0"/>
        <v>5.2687254768370106E-2</v>
      </c>
      <c r="K56">
        <v>2063.110107</v>
      </c>
      <c r="L56" s="15">
        <f t="shared" si="1"/>
        <v>-2.1011672375900514E-2</v>
      </c>
    </row>
    <row r="57" spans="8:12" x14ac:dyDescent="0.25">
      <c r="H57" s="14">
        <v>42125</v>
      </c>
      <c r="I57">
        <v>89.151427999999996</v>
      </c>
      <c r="J57" s="16">
        <f t="shared" si="0"/>
        <v>0.12140161006289296</v>
      </c>
      <c r="K57">
        <v>2107.389893</v>
      </c>
      <c r="L57" s="15">
        <f t="shared" si="1"/>
        <v>1.0491382393316817E-2</v>
      </c>
    </row>
    <row r="58" spans="8:12" x14ac:dyDescent="0.25">
      <c r="H58" s="14">
        <v>42095</v>
      </c>
      <c r="I58">
        <v>79.5</v>
      </c>
      <c r="J58" s="16">
        <f t="shared" si="0"/>
        <v>0.33552522981869348</v>
      </c>
      <c r="K58">
        <v>2085.51001</v>
      </c>
      <c r="L58" s="15">
        <f t="shared" si="1"/>
        <v>8.5208197301247512E-3</v>
      </c>
    </row>
    <row r="59" spans="8:12" x14ac:dyDescent="0.25">
      <c r="H59" s="14">
        <v>42064</v>
      </c>
      <c r="I59">
        <v>59.527141999999998</v>
      </c>
      <c r="J59" s="16">
        <f t="shared" si="0"/>
        <v>-0.12259163940767659</v>
      </c>
      <c r="K59">
        <v>2067.889893</v>
      </c>
      <c r="L59" s="15">
        <f t="shared" si="1"/>
        <v>-1.739610691375626E-2</v>
      </c>
    </row>
    <row r="60" spans="8:12" x14ac:dyDescent="0.25">
      <c r="H60" s="14">
        <v>42036</v>
      </c>
      <c r="I60">
        <v>67.844284000000002</v>
      </c>
      <c r="J60" s="16" t="e">
        <f t="shared" si="0"/>
        <v>#DIV/0!</v>
      </c>
      <c r="K60">
        <v>2104.5</v>
      </c>
      <c r="L60" s="15" t="e">
        <f t="shared" si="1"/>
        <v>#DIV/0!</v>
      </c>
    </row>
  </sheetData>
  <sortState xmlns:xlrd2="http://schemas.microsoft.com/office/spreadsheetml/2017/richdata2" ref="H1:K61">
    <sortCondition descending="1" ref="H3"/>
  </sortState>
  <hyperlinks>
    <hyperlink ref="B13" r:id="rId1" display="https://ycharts.com/store/start_trial_register/indDataVerification" xr:uid="{3A36BD6A-0266-4995-8B40-DA441DF0CE2B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96CB4-9887-4EFA-9970-3770514E149D}">
  <dimension ref="C4:J22"/>
  <sheetViews>
    <sheetView topLeftCell="D8" workbookViewId="0">
      <selection activeCell="G4" sqref="G4:I22"/>
    </sheetView>
  </sheetViews>
  <sheetFormatPr defaultRowHeight="15" x14ac:dyDescent="0.25"/>
  <cols>
    <col min="3" max="3" width="36.5703125" bestFit="1" customWidth="1"/>
    <col min="4" max="4" width="13" customWidth="1"/>
    <col min="6" max="6" width="21.5703125" bestFit="1" customWidth="1"/>
    <col min="7" max="7" width="27" customWidth="1"/>
    <col min="8" max="8" width="23" customWidth="1"/>
    <col min="9" max="9" width="28.140625" customWidth="1"/>
    <col min="10" max="10" width="14.140625" bestFit="1" customWidth="1"/>
  </cols>
  <sheetData>
    <row r="4" spans="3:10" x14ac:dyDescent="0.25">
      <c r="D4" t="s">
        <v>66</v>
      </c>
      <c r="E4" t="s">
        <v>69</v>
      </c>
      <c r="H4" t="s">
        <v>66</v>
      </c>
      <c r="I4" t="s">
        <v>69</v>
      </c>
    </row>
    <row r="5" spans="3:10" x14ac:dyDescent="0.25">
      <c r="C5" t="s">
        <v>65</v>
      </c>
      <c r="D5">
        <v>14759260</v>
      </c>
      <c r="E5" s="5">
        <f>D5/D8</f>
        <v>0.84083068894204926</v>
      </c>
      <c r="G5" t="s">
        <v>65</v>
      </c>
      <c r="H5">
        <v>14759260</v>
      </c>
      <c r="I5" s="5">
        <f>H5/H8</f>
        <v>7.3462683913543422E-2</v>
      </c>
    </row>
    <row r="6" spans="3:10" x14ac:dyDescent="0.25">
      <c r="C6" t="s">
        <v>67</v>
      </c>
      <c r="D6">
        <v>2793929</v>
      </c>
      <c r="E6" s="5">
        <f>D6/D8</f>
        <v>0.15916931105795079</v>
      </c>
      <c r="G6" t="s">
        <v>77</v>
      </c>
      <c r="H6">
        <f>J10</f>
        <v>186149000</v>
      </c>
      <c r="I6" s="5">
        <f>H6/H8</f>
        <v>0.92653731608645662</v>
      </c>
    </row>
    <row r="8" spans="3:10" x14ac:dyDescent="0.25">
      <c r="C8" t="s">
        <v>68</v>
      </c>
      <c r="D8">
        <f>D5+D6</f>
        <v>17553189</v>
      </c>
      <c r="G8" t="s">
        <v>68</v>
      </c>
      <c r="H8">
        <f>H5+H6</f>
        <v>200908260</v>
      </c>
    </row>
    <row r="10" spans="3:10" x14ac:dyDescent="0.25">
      <c r="C10" t="s">
        <v>64</v>
      </c>
      <c r="D10" s="8">
        <f>'cost of equity '!E18</f>
        <v>8.8232620125054673E-3</v>
      </c>
      <c r="G10" t="s">
        <v>64</v>
      </c>
      <c r="H10" s="8">
        <f>D10</f>
        <v>8.8232620125054673E-3</v>
      </c>
      <c r="J10" s="24">
        <f>(186.149*1000000000)/1000</f>
        <v>186149000</v>
      </c>
    </row>
    <row r="11" spans="3:10" x14ac:dyDescent="0.25">
      <c r="C11" t="s">
        <v>70</v>
      </c>
      <c r="D11" s="7">
        <f>E5</f>
        <v>0.84083068894204926</v>
      </c>
      <c r="F11" s="22"/>
      <c r="G11" t="s">
        <v>70</v>
      </c>
      <c r="H11" s="7">
        <f>I6</f>
        <v>0.92653731608645662</v>
      </c>
    </row>
    <row r="12" spans="3:10" x14ac:dyDescent="0.25">
      <c r="D12" s="7"/>
      <c r="F12" s="22"/>
      <c r="H12" s="7"/>
    </row>
    <row r="13" spans="3:10" x14ac:dyDescent="0.25">
      <c r="C13" t="s">
        <v>73</v>
      </c>
      <c r="D13" s="1">
        <f>D10*D11</f>
        <v>7.4188694766911837E-3</v>
      </c>
      <c r="G13" t="s">
        <v>73</v>
      </c>
      <c r="H13" s="1">
        <f>H10*H11</f>
        <v>8.175081504194404E-3</v>
      </c>
    </row>
    <row r="16" spans="3:10" x14ac:dyDescent="0.25">
      <c r="C16" t="s">
        <v>9</v>
      </c>
      <c r="D16" s="8">
        <f>'cost of debt '!J10</f>
        <v>3.1514797422092976E-2</v>
      </c>
      <c r="G16" t="s">
        <v>9</v>
      </c>
      <c r="H16" s="8">
        <f>D16</f>
        <v>3.1514797422092976E-2</v>
      </c>
    </row>
    <row r="17" spans="3:8" x14ac:dyDescent="0.25">
      <c r="C17" t="s">
        <v>72</v>
      </c>
      <c r="D17" s="6">
        <f>D16*(1-21%)</f>
        <v>2.4896689963453452E-2</v>
      </c>
      <c r="G17" t="s">
        <v>72</v>
      </c>
      <c r="H17" s="6">
        <f>H16*(1-21%)</f>
        <v>2.4896689963453452E-2</v>
      </c>
    </row>
    <row r="18" spans="3:8" x14ac:dyDescent="0.25">
      <c r="C18" t="s">
        <v>74</v>
      </c>
      <c r="D18" s="7">
        <v>0.21</v>
      </c>
      <c r="G18" t="s">
        <v>74</v>
      </c>
      <c r="H18" s="7">
        <v>0.21</v>
      </c>
    </row>
    <row r="19" spans="3:8" x14ac:dyDescent="0.25">
      <c r="D19" s="7"/>
      <c r="H19" s="7"/>
    </row>
    <row r="20" spans="3:8" x14ac:dyDescent="0.25">
      <c r="C20" t="s">
        <v>75</v>
      </c>
      <c r="D20" s="1">
        <f>D17*E6</f>
        <v>3.9627889891062839E-3</v>
      </c>
      <c r="G20" t="s">
        <v>75</v>
      </c>
      <c r="H20" s="1">
        <f>H17*I6</f>
        <v>2.3067712298174784E-2</v>
      </c>
    </row>
    <row r="22" spans="3:8" x14ac:dyDescent="0.25">
      <c r="C22" t="s">
        <v>76</v>
      </c>
      <c r="D22" s="1">
        <f>D13+D20</f>
        <v>1.1381658465797468E-2</v>
      </c>
      <c r="G22" t="s">
        <v>76</v>
      </c>
      <c r="H22" s="1">
        <f>H13+H20</f>
        <v>3.124279380236919E-2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E7E65-20C9-498C-B294-117B4A520E59}">
  <dimension ref="B3:U24"/>
  <sheetViews>
    <sheetView tabSelected="1" topLeftCell="F8" workbookViewId="0">
      <selection activeCell="O9" sqref="O9:U20"/>
    </sheetView>
  </sheetViews>
  <sheetFormatPr defaultRowHeight="15" x14ac:dyDescent="0.25"/>
  <cols>
    <col min="2" max="2" width="28.85546875" bestFit="1" customWidth="1"/>
    <col min="3" max="3" width="13.42578125" customWidth="1"/>
    <col min="6" max="6" width="2.85546875" customWidth="1"/>
    <col min="7" max="7" width="9.85546875" customWidth="1"/>
    <col min="8" max="8" width="6.42578125" customWidth="1"/>
    <col min="9" max="9" width="12.85546875" customWidth="1"/>
    <col min="10" max="10" width="12.5703125" customWidth="1"/>
    <col min="11" max="11" width="12.85546875" customWidth="1"/>
    <col min="12" max="12" width="9" customWidth="1"/>
    <col min="13" max="13" width="12.7109375" customWidth="1"/>
    <col min="14" max="15" width="13.28515625" customWidth="1"/>
    <col min="16" max="16" width="13.85546875" bestFit="1" customWidth="1"/>
    <col min="17" max="17" width="11.85546875" bestFit="1" customWidth="1"/>
    <col min="18" max="18" width="13.85546875" bestFit="1" customWidth="1"/>
    <col min="19" max="19" width="11.140625" bestFit="1" customWidth="1"/>
    <col min="21" max="21" width="11.7109375" customWidth="1"/>
  </cols>
  <sheetData>
    <row r="3" spans="2:21" x14ac:dyDescent="0.25">
      <c r="C3" s="25" t="s">
        <v>79</v>
      </c>
    </row>
    <row r="4" spans="2:21" x14ac:dyDescent="0.25">
      <c r="B4" t="s">
        <v>78</v>
      </c>
      <c r="C4" s="26">
        <v>160000000</v>
      </c>
    </row>
    <row r="5" spans="2:21" x14ac:dyDescent="0.25">
      <c r="B5" t="s">
        <v>80</v>
      </c>
      <c r="C5" s="26">
        <v>15000000</v>
      </c>
    </row>
    <row r="6" spans="2:21" x14ac:dyDescent="0.25">
      <c r="C6" s="26"/>
    </row>
    <row r="7" spans="2:21" x14ac:dyDescent="0.25">
      <c r="B7" t="s">
        <v>81</v>
      </c>
      <c r="C7" s="26">
        <f>C4+C5</f>
        <v>175000000</v>
      </c>
    </row>
    <row r="8" spans="2:21" x14ac:dyDescent="0.25">
      <c r="C8" s="26"/>
    </row>
    <row r="9" spans="2:21" ht="60" x14ac:dyDescent="0.25">
      <c r="C9" s="26"/>
      <c r="G9" t="s">
        <v>84</v>
      </c>
      <c r="H9" s="3" t="s">
        <v>85</v>
      </c>
      <c r="I9" s="3" t="s">
        <v>90</v>
      </c>
      <c r="J9" s="3" t="s">
        <v>91</v>
      </c>
      <c r="K9" s="3" t="s">
        <v>92</v>
      </c>
      <c r="L9" s="3" t="s">
        <v>86</v>
      </c>
      <c r="M9" s="31" t="s">
        <v>87</v>
      </c>
      <c r="N9" s="3" t="s">
        <v>93</v>
      </c>
      <c r="O9" s="31" t="s">
        <v>89</v>
      </c>
      <c r="P9" t="s">
        <v>88</v>
      </c>
      <c r="Q9" t="s">
        <v>95</v>
      </c>
      <c r="R9" t="s">
        <v>94</v>
      </c>
      <c r="S9" s="3" t="s">
        <v>96</v>
      </c>
      <c r="T9" s="3" t="s">
        <v>98</v>
      </c>
      <c r="U9" t="s">
        <v>97</v>
      </c>
    </row>
    <row r="10" spans="2:21" x14ac:dyDescent="0.25">
      <c r="B10" t="s">
        <v>82</v>
      </c>
      <c r="C10" s="26">
        <v>60000000</v>
      </c>
      <c r="E10" t="s">
        <v>83</v>
      </c>
      <c r="F10">
        <v>1</v>
      </c>
      <c r="G10" s="27">
        <v>1000000</v>
      </c>
      <c r="H10" s="26">
        <v>220</v>
      </c>
      <c r="I10" s="26">
        <f>H10</f>
        <v>220</v>
      </c>
      <c r="J10" s="26">
        <f>G10*I10</f>
        <v>220000000</v>
      </c>
      <c r="K10" s="26">
        <f>10%*J10</f>
        <v>22000000</v>
      </c>
      <c r="L10" s="28">
        <v>140</v>
      </c>
      <c r="M10" s="30">
        <f>L10</f>
        <v>140</v>
      </c>
      <c r="N10" s="29">
        <f>G10*M10</f>
        <v>140000000</v>
      </c>
      <c r="O10" s="8">
        <v>0.1</v>
      </c>
      <c r="P10" s="29">
        <f>O10*$C$4</f>
        <v>16000000</v>
      </c>
      <c r="Q10" s="29">
        <f>J10-(K10+N10+P10)</f>
        <v>42000000</v>
      </c>
      <c r="R10" s="29">
        <f>40%*Q10</f>
        <v>16800000</v>
      </c>
      <c r="S10" s="29">
        <f>Q10-R10</f>
        <v>25200000</v>
      </c>
      <c r="T10">
        <f>1/POWER(1.03124,F10)</f>
        <v>0.96970637291028283</v>
      </c>
      <c r="U10" s="29">
        <f>S10*T10</f>
        <v>24436600.597339127</v>
      </c>
    </row>
    <row r="11" spans="2:21" x14ac:dyDescent="0.25">
      <c r="F11">
        <f>F10+1</f>
        <v>2</v>
      </c>
      <c r="G11" s="27">
        <f>G10*1.07</f>
        <v>1070000</v>
      </c>
      <c r="H11" s="26">
        <v>220</v>
      </c>
      <c r="I11" s="26">
        <f>H10*1.03</f>
        <v>226.6</v>
      </c>
      <c r="J11" s="26">
        <f t="shared" ref="J11:J20" si="0">G11*I11</f>
        <v>242462000</v>
      </c>
      <c r="K11" s="26">
        <f t="shared" ref="K11:K20" si="1">10%*J11</f>
        <v>24246200</v>
      </c>
      <c r="L11" s="28">
        <v>140</v>
      </c>
      <c r="M11" s="30">
        <f>M10*1.03</f>
        <v>144.20000000000002</v>
      </c>
      <c r="N11" s="29">
        <f>G11*M11</f>
        <v>154294000.00000003</v>
      </c>
      <c r="O11" s="8">
        <v>0.18</v>
      </c>
      <c r="P11" s="29">
        <f t="shared" ref="P11:P20" si="2">O11*$C$4</f>
        <v>28800000</v>
      </c>
      <c r="Q11" s="29">
        <f t="shared" ref="Q11:Q20" si="3">J11-(K11+N11+P11)</f>
        <v>35121799.99999997</v>
      </c>
      <c r="R11" s="29">
        <f t="shared" ref="R11:R20" si="4">40%*Q11</f>
        <v>14048719.999999989</v>
      </c>
      <c r="S11" s="29">
        <f t="shared" ref="S11:S20" si="5">Q11-R11</f>
        <v>21073079.999999981</v>
      </c>
      <c r="T11">
        <f t="shared" ref="T11:T20" si="6">1/POWER(1.03124,F11)</f>
        <v>0.94033044966281643</v>
      </c>
      <c r="U11" s="29">
        <f t="shared" ref="U11:U20" si="7">S11*T11</f>
        <v>19815658.792180486</v>
      </c>
    </row>
    <row r="12" spans="2:21" x14ac:dyDescent="0.25">
      <c r="F12">
        <f t="shared" ref="F12:F20" si="8">F11+1</f>
        <v>3</v>
      </c>
      <c r="G12" s="27">
        <f>G11*1.07</f>
        <v>1144900</v>
      </c>
      <c r="H12" s="26">
        <v>220</v>
      </c>
      <c r="I12" s="26">
        <f>I11*1.03</f>
        <v>233.398</v>
      </c>
      <c r="J12" s="26">
        <f t="shared" si="0"/>
        <v>267217370.19999999</v>
      </c>
      <c r="K12" s="26">
        <f t="shared" si="1"/>
        <v>26721737.02</v>
      </c>
      <c r="L12" s="28">
        <v>140</v>
      </c>
      <c r="M12" s="30">
        <f t="shared" ref="M12:M20" si="9">M11*1.03</f>
        <v>148.52600000000001</v>
      </c>
      <c r="N12" s="29">
        <f>G12*M12</f>
        <v>170047417.40000001</v>
      </c>
      <c r="O12" s="8">
        <v>0.14399999999999999</v>
      </c>
      <c r="P12" s="29">
        <f t="shared" si="2"/>
        <v>23040000</v>
      </c>
      <c r="Q12" s="29">
        <f t="shared" si="3"/>
        <v>47408215.779999971</v>
      </c>
      <c r="R12" s="29">
        <f t="shared" si="4"/>
        <v>18963286.311999988</v>
      </c>
      <c r="S12" s="29">
        <f t="shared" si="5"/>
        <v>28444929.467999984</v>
      </c>
      <c r="T12">
        <f t="shared" si="6"/>
        <v>0.91184442967962509</v>
      </c>
      <c r="U12" s="29">
        <f t="shared" si="7"/>
        <v>25937350.488025606</v>
      </c>
    </row>
    <row r="13" spans="2:21" x14ac:dyDescent="0.25">
      <c r="F13">
        <f t="shared" si="8"/>
        <v>4</v>
      </c>
      <c r="G13" s="27">
        <f t="shared" ref="G13:G20" si="10">G12*1.07</f>
        <v>1225043</v>
      </c>
      <c r="H13" s="26">
        <v>220</v>
      </c>
      <c r="I13" s="26">
        <f t="shared" ref="I12:I20" si="11">I12*1.03</f>
        <v>240.39994000000002</v>
      </c>
      <c r="J13" s="26">
        <f t="shared" si="0"/>
        <v>294500263.69742</v>
      </c>
      <c r="K13" s="26">
        <f t="shared" si="1"/>
        <v>29450026.369742002</v>
      </c>
      <c r="L13" s="28">
        <v>140</v>
      </c>
      <c r="M13" s="30">
        <f t="shared" si="9"/>
        <v>152.98178000000001</v>
      </c>
      <c r="N13" s="29">
        <f>G13*M13</f>
        <v>187409258.71654001</v>
      </c>
      <c r="O13" s="8">
        <v>0.1152</v>
      </c>
      <c r="P13" s="29">
        <f t="shared" si="2"/>
        <v>18432000</v>
      </c>
      <c r="Q13" s="29">
        <f t="shared" si="3"/>
        <v>59208978.611137986</v>
      </c>
      <c r="R13" s="29">
        <f t="shared" si="4"/>
        <v>23683591.444455195</v>
      </c>
      <c r="S13" s="29">
        <f t="shared" si="5"/>
        <v>35525387.166682795</v>
      </c>
      <c r="T13">
        <f t="shared" si="6"/>
        <v>0.8842213545630746</v>
      </c>
      <c r="U13" s="29">
        <f t="shared" si="7"/>
        <v>31412305.961901929</v>
      </c>
    </row>
    <row r="14" spans="2:21" x14ac:dyDescent="0.25">
      <c r="F14">
        <f t="shared" si="8"/>
        <v>5</v>
      </c>
      <c r="G14" s="27">
        <f t="shared" si="10"/>
        <v>1310796.01</v>
      </c>
      <c r="H14" s="26">
        <v>220</v>
      </c>
      <c r="I14" s="26">
        <f t="shared" si="11"/>
        <v>247.61193820000003</v>
      </c>
      <c r="J14" s="26">
        <f t="shared" si="0"/>
        <v>324568740.62092662</v>
      </c>
      <c r="K14" s="26">
        <f t="shared" si="1"/>
        <v>32456874.062092662</v>
      </c>
      <c r="L14" s="28">
        <v>140</v>
      </c>
      <c r="M14" s="30">
        <f t="shared" si="9"/>
        <v>157.57123340000001</v>
      </c>
      <c r="N14" s="29">
        <f>G14*M14</f>
        <v>206543744.03149876</v>
      </c>
      <c r="O14" s="8">
        <v>9.2200000000000004E-2</v>
      </c>
      <c r="P14" s="29">
        <f t="shared" si="2"/>
        <v>14752000</v>
      </c>
      <c r="Q14" s="29">
        <f t="shared" si="3"/>
        <v>70816122.527335197</v>
      </c>
      <c r="R14" s="29">
        <f t="shared" si="4"/>
        <v>28326449.010934081</v>
      </c>
      <c r="S14" s="29">
        <f t="shared" si="5"/>
        <v>42489673.516401112</v>
      </c>
      <c r="T14">
        <f t="shared" si="6"/>
        <v>0.85743508258317636</v>
      </c>
      <c r="U14" s="29">
        <f t="shared" si="7"/>
        <v>36432136.72046759</v>
      </c>
    </row>
    <row r="15" spans="2:21" x14ac:dyDescent="0.25">
      <c r="F15">
        <f t="shared" si="8"/>
        <v>6</v>
      </c>
      <c r="G15" s="27">
        <f t="shared" si="10"/>
        <v>1402551.7307000002</v>
      </c>
      <c r="H15" s="26">
        <v>220</v>
      </c>
      <c r="I15" s="26">
        <f t="shared" si="11"/>
        <v>255.04029634600002</v>
      </c>
      <c r="J15" s="26">
        <f t="shared" si="0"/>
        <v>357707209.03832328</v>
      </c>
      <c r="K15" s="26">
        <f t="shared" si="1"/>
        <v>35770720.903832331</v>
      </c>
      <c r="L15" s="28">
        <v>140</v>
      </c>
      <c r="M15" s="30">
        <f t="shared" si="9"/>
        <v>162.29837040200002</v>
      </c>
      <c r="N15" s="29">
        <f>G15*M15</f>
        <v>227631860.29711482</v>
      </c>
      <c r="O15" s="8">
        <v>7.3700000000000002E-2</v>
      </c>
      <c r="P15" s="29">
        <f t="shared" si="2"/>
        <v>11792000</v>
      </c>
      <c r="Q15" s="29">
        <f t="shared" si="3"/>
        <v>82512627.837376118</v>
      </c>
      <c r="R15" s="29">
        <f t="shared" si="4"/>
        <v>33005051.134950448</v>
      </c>
      <c r="S15" s="29">
        <f t="shared" si="5"/>
        <v>49507576.702425674</v>
      </c>
      <c r="T15">
        <f t="shared" si="6"/>
        <v>0.83146026393776062</v>
      </c>
      <c r="U15" s="29">
        <f t="shared" si="7"/>
        <v>41163582.791917779</v>
      </c>
    </row>
    <row r="16" spans="2:21" x14ac:dyDescent="0.25">
      <c r="F16">
        <f t="shared" si="8"/>
        <v>7</v>
      </c>
      <c r="G16" s="27">
        <f t="shared" si="10"/>
        <v>1500730.3518490002</v>
      </c>
      <c r="H16" s="26">
        <v>220</v>
      </c>
      <c r="I16" s="26">
        <f t="shared" si="11"/>
        <v>262.69150523638001</v>
      </c>
      <c r="J16" s="26">
        <f t="shared" si="0"/>
        <v>394229115.08113605</v>
      </c>
      <c r="K16" s="26">
        <f t="shared" si="1"/>
        <v>39422911.508113608</v>
      </c>
      <c r="L16" s="28">
        <v>140</v>
      </c>
      <c r="M16" s="30">
        <f t="shared" si="9"/>
        <v>167.16732151406003</v>
      </c>
      <c r="N16" s="29">
        <f>G16*M16</f>
        <v>250873073.23345026</v>
      </c>
      <c r="O16" s="8">
        <v>6.5500000000000003E-2</v>
      </c>
      <c r="P16" s="29">
        <f t="shared" si="2"/>
        <v>10480000</v>
      </c>
      <c r="Q16" s="29">
        <f t="shared" si="3"/>
        <v>93453130.339572191</v>
      </c>
      <c r="R16" s="29">
        <f t="shared" si="4"/>
        <v>37381252.135828875</v>
      </c>
      <c r="S16" s="29">
        <f t="shared" si="5"/>
        <v>56071878.203743316</v>
      </c>
      <c r="T16">
        <f t="shared" si="6"/>
        <v>0.80627231676211231</v>
      </c>
      <c r="U16" s="29">
        <f t="shared" si="7"/>
        <v>45209203.144535109</v>
      </c>
    </row>
    <row r="17" spans="6:21" x14ac:dyDescent="0.25">
      <c r="F17">
        <f t="shared" si="8"/>
        <v>8</v>
      </c>
      <c r="G17" s="27">
        <f t="shared" si="10"/>
        <v>1605781.4764784302</v>
      </c>
      <c r="H17" s="26">
        <v>220</v>
      </c>
      <c r="I17" s="26">
        <f t="shared" si="11"/>
        <v>270.57225039347139</v>
      </c>
      <c r="J17" s="26">
        <f t="shared" si="0"/>
        <v>434479907.73092002</v>
      </c>
      <c r="K17" s="26">
        <f t="shared" si="1"/>
        <v>43447990.773092002</v>
      </c>
      <c r="L17" s="28">
        <v>140</v>
      </c>
      <c r="M17" s="30">
        <f t="shared" si="9"/>
        <v>172.18234115948184</v>
      </c>
      <c r="N17" s="29">
        <f>G17*M17</f>
        <v>276487214.01058555</v>
      </c>
      <c r="O17" s="8">
        <v>6.5500000000000003E-2</v>
      </c>
      <c r="P17" s="29">
        <f t="shared" si="2"/>
        <v>10480000</v>
      </c>
      <c r="Q17" s="29">
        <f t="shared" si="3"/>
        <v>104064702.94724244</v>
      </c>
      <c r="R17" s="29">
        <f t="shared" si="4"/>
        <v>41625881.178896978</v>
      </c>
      <c r="S17" s="29">
        <f t="shared" si="5"/>
        <v>62438821.76834546</v>
      </c>
      <c r="T17">
        <f t="shared" si="6"/>
        <v>0.78184740386535856</v>
      </c>
      <c r="U17" s="29">
        <f t="shared" si="7"/>
        <v>48817630.699992731</v>
      </c>
    </row>
    <row r="18" spans="6:21" x14ac:dyDescent="0.25">
      <c r="F18">
        <f t="shared" si="8"/>
        <v>9</v>
      </c>
      <c r="G18" s="27">
        <f t="shared" si="10"/>
        <v>1718186.1798319204</v>
      </c>
      <c r="H18" s="26">
        <v>220</v>
      </c>
      <c r="I18" s="26">
        <f t="shared" si="11"/>
        <v>278.68941790527555</v>
      </c>
      <c r="J18" s="26">
        <f t="shared" si="0"/>
        <v>478840306.310247</v>
      </c>
      <c r="K18" s="26">
        <f t="shared" si="1"/>
        <v>47884030.631024703</v>
      </c>
      <c r="L18" s="28">
        <v>140</v>
      </c>
      <c r="M18" s="30">
        <f t="shared" si="9"/>
        <v>177.3478113942663</v>
      </c>
      <c r="N18" s="29">
        <f>G18*M18</f>
        <v>304716558.56106633</v>
      </c>
      <c r="O18" s="8">
        <v>6.5600000000000006E-2</v>
      </c>
      <c r="P18" s="29">
        <f t="shared" si="2"/>
        <v>10496000</v>
      </c>
      <c r="Q18" s="29">
        <f t="shared" si="3"/>
        <v>115743717.11815596</v>
      </c>
      <c r="R18" s="29">
        <f t="shared" si="4"/>
        <v>46297486.847262383</v>
      </c>
      <c r="S18" s="29">
        <f t="shared" si="5"/>
        <v>69446230.270893574</v>
      </c>
      <c r="T18">
        <f t="shared" si="6"/>
        <v>0.75816241017159791</v>
      </c>
      <c r="U18" s="29">
        <f t="shared" si="7"/>
        <v>52651521.319512449</v>
      </c>
    </row>
    <row r="19" spans="6:21" x14ac:dyDescent="0.25">
      <c r="F19">
        <f t="shared" si="8"/>
        <v>10</v>
      </c>
      <c r="G19" s="27">
        <f t="shared" si="10"/>
        <v>1838459.2124201551</v>
      </c>
      <c r="H19" s="26">
        <v>220</v>
      </c>
      <c r="I19" s="26">
        <f t="shared" si="11"/>
        <v>287.0501004424338</v>
      </c>
      <c r="J19" s="26">
        <f t="shared" si="0"/>
        <v>527729901.58452326</v>
      </c>
      <c r="K19" s="26">
        <f t="shared" si="1"/>
        <v>52772990.158452332</v>
      </c>
      <c r="L19" s="28">
        <v>140</v>
      </c>
      <c r="M19" s="30">
        <f t="shared" si="9"/>
        <v>182.66824573609429</v>
      </c>
      <c r="N19" s="29">
        <f>G19*M19</f>
        <v>335828119.19015127</v>
      </c>
      <c r="O19" s="8">
        <v>6.5500000000000003E-2</v>
      </c>
      <c r="P19" s="29">
        <f t="shared" si="2"/>
        <v>10480000</v>
      </c>
      <c r="Q19" s="29">
        <f t="shared" si="3"/>
        <v>128648792.23591965</v>
      </c>
      <c r="R19" s="29">
        <f t="shared" si="4"/>
        <v>51459516.894367866</v>
      </c>
      <c r="S19" s="29">
        <f t="shared" si="5"/>
        <v>77189275.341551781</v>
      </c>
      <c r="T19">
        <f t="shared" si="6"/>
        <v>0.73519492084441829</v>
      </c>
      <c r="U19" s="29">
        <f t="shared" si="7"/>
        <v>56749163.174770169</v>
      </c>
    </row>
    <row r="20" spans="6:21" x14ac:dyDescent="0.25">
      <c r="F20">
        <f t="shared" si="8"/>
        <v>11</v>
      </c>
      <c r="G20" s="27">
        <f t="shared" si="10"/>
        <v>1967151.357289566</v>
      </c>
      <c r="H20" s="26">
        <v>220</v>
      </c>
      <c r="I20" s="26">
        <f t="shared" si="11"/>
        <v>295.66160345570682</v>
      </c>
      <c r="J20" s="26">
        <f t="shared" si="0"/>
        <v>581611124.53630316</v>
      </c>
      <c r="K20" s="26">
        <f t="shared" si="1"/>
        <v>58161112.453630321</v>
      </c>
      <c r="L20" s="28">
        <v>140</v>
      </c>
      <c r="M20" s="30">
        <f>M19*1.03</f>
        <v>188.14829310817711</v>
      </c>
      <c r="N20" s="29">
        <f>G20*M20</f>
        <v>370116170.15946567</v>
      </c>
      <c r="O20" s="8">
        <v>3.2800000000000003E-2</v>
      </c>
      <c r="P20" s="29">
        <f t="shared" si="2"/>
        <v>5248000</v>
      </c>
      <c r="Q20" s="29">
        <f t="shared" si="3"/>
        <v>148085841.92320716</v>
      </c>
      <c r="R20" s="29">
        <f t="shared" si="4"/>
        <v>59234336.76928287</v>
      </c>
      <c r="S20" s="29">
        <f t="shared" si="5"/>
        <v>88851505.153924286</v>
      </c>
      <c r="T20">
        <f t="shared" si="6"/>
        <v>0.71292320007410326</v>
      </c>
      <c r="U20" s="29">
        <f t="shared" si="7"/>
        <v>63344299.385736383</v>
      </c>
    </row>
    <row r="23" spans="6:21" x14ac:dyDescent="0.25">
      <c r="O23" s="8"/>
    </row>
    <row r="24" spans="6:21" x14ac:dyDescent="0.25">
      <c r="P24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cost of debt </vt:lpstr>
      <vt:lpstr>cost of equity </vt:lpstr>
      <vt:lpstr>WACC</vt:lpstr>
      <vt:lpstr>Cash flow estimaiton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</dc:creator>
  <cp:lastModifiedBy>Elizabeth</cp:lastModifiedBy>
  <dcterms:created xsi:type="dcterms:W3CDTF">2020-04-24T13:27:08Z</dcterms:created>
  <dcterms:modified xsi:type="dcterms:W3CDTF">2020-04-24T17:54:00Z</dcterms:modified>
</cp:coreProperties>
</file>