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Sheet1" sheetId="1" r:id="rId1"/>
    <sheet name="CAFÉ XARAGU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7" i="2" l="1"/>
  <c r="B76" i="2"/>
  <c r="C176" i="2" l="1"/>
  <c r="D176" i="2"/>
  <c r="E176" i="2"/>
  <c r="F176" i="2"/>
  <c r="G176" i="2"/>
  <c r="H176" i="2"/>
  <c r="I176" i="2"/>
  <c r="J176" i="2"/>
  <c r="K176" i="2"/>
  <c r="L176" i="2"/>
  <c r="M176" i="2"/>
  <c r="B176" i="2"/>
  <c r="B5" i="2"/>
  <c r="B49" i="2" s="1"/>
  <c r="F8" i="2"/>
  <c r="F9" i="2" s="1"/>
  <c r="F10" i="2" s="1"/>
  <c r="B205" i="2"/>
  <c r="C177" i="2"/>
  <c r="D177" i="2"/>
  <c r="E177" i="2"/>
  <c r="F177" i="2"/>
  <c r="G177" i="2"/>
  <c r="H177" i="2"/>
  <c r="I177" i="2"/>
  <c r="J177" i="2"/>
  <c r="K177" i="2"/>
  <c r="L177" i="2"/>
  <c r="M177" i="2"/>
  <c r="B177" i="2"/>
  <c r="D49" i="2" l="1"/>
  <c r="B212" i="2"/>
  <c r="B211" i="2"/>
  <c r="B210" i="2"/>
  <c r="B209" i="2"/>
  <c r="B208" i="2"/>
  <c r="B207" i="2"/>
  <c r="M164" i="2"/>
  <c r="L164" i="2"/>
  <c r="K164" i="2"/>
  <c r="J164" i="2"/>
  <c r="I164" i="2"/>
  <c r="H164" i="2"/>
  <c r="G164" i="2"/>
  <c r="F164" i="2"/>
  <c r="E164" i="2"/>
  <c r="D164" i="2"/>
  <c r="C164" i="2"/>
  <c r="B164" i="2"/>
  <c r="B166" i="2" s="1"/>
  <c r="B24" i="2"/>
  <c r="B94" i="2"/>
  <c r="D183" i="2"/>
  <c r="E183" i="2"/>
  <c r="F183" i="2"/>
  <c r="G183" i="2"/>
  <c r="H183" i="2"/>
  <c r="I183" i="2"/>
  <c r="J183" i="2"/>
  <c r="K183" i="2"/>
  <c r="L183" i="2"/>
  <c r="M183" i="2"/>
  <c r="C183" i="2"/>
  <c r="C184" i="2"/>
  <c r="D184" i="2"/>
  <c r="E184" i="2"/>
  <c r="F184" i="2"/>
  <c r="G184" i="2"/>
  <c r="H184" i="2"/>
  <c r="I184" i="2"/>
  <c r="J184" i="2"/>
  <c r="K184" i="2"/>
  <c r="L184" i="2"/>
  <c r="M184" i="2"/>
  <c r="B184" i="2"/>
  <c r="C182" i="2"/>
  <c r="D182" i="2"/>
  <c r="E182" i="2"/>
  <c r="F182" i="2"/>
  <c r="G182" i="2"/>
  <c r="H182" i="2"/>
  <c r="I182" i="2"/>
  <c r="J182" i="2"/>
  <c r="K182" i="2"/>
  <c r="L182" i="2"/>
  <c r="M182" i="2"/>
  <c r="B182" i="2"/>
  <c r="C181" i="2"/>
  <c r="D181" i="2"/>
  <c r="E181" i="2"/>
  <c r="F181" i="2"/>
  <c r="G181" i="2"/>
  <c r="H181" i="2"/>
  <c r="I181" i="2"/>
  <c r="J181" i="2"/>
  <c r="K181" i="2"/>
  <c r="L181" i="2"/>
  <c r="M181" i="2"/>
  <c r="B181" i="2"/>
  <c r="C180" i="2"/>
  <c r="D180" i="2"/>
  <c r="D185" i="2" s="1"/>
  <c r="E180" i="2"/>
  <c r="F180" i="2"/>
  <c r="F185" i="2" s="1"/>
  <c r="G180" i="2"/>
  <c r="H180" i="2"/>
  <c r="H185" i="2" s="1"/>
  <c r="I180" i="2"/>
  <c r="J180" i="2"/>
  <c r="J185" i="2" s="1"/>
  <c r="K180" i="2"/>
  <c r="L180" i="2"/>
  <c r="L185" i="2" s="1"/>
  <c r="M180" i="2"/>
  <c r="B180" i="2"/>
  <c r="B185" i="2" s="1"/>
  <c r="B179" i="2"/>
  <c r="B54" i="2"/>
  <c r="B55" i="2"/>
  <c r="B148" i="2"/>
  <c r="D52" i="2"/>
  <c r="B52" i="2"/>
  <c r="B97" i="2"/>
  <c r="B96" i="2"/>
  <c r="B95" i="2"/>
  <c r="B152" i="2"/>
  <c r="B151" i="2"/>
  <c r="B150" i="2"/>
  <c r="B149" i="2"/>
  <c r="B132" i="2"/>
  <c r="B131" i="2"/>
  <c r="B130" i="2"/>
  <c r="B129" i="2"/>
  <c r="B117" i="2"/>
  <c r="B116" i="2"/>
  <c r="B115" i="2"/>
  <c r="B114" i="2"/>
  <c r="B113" i="2"/>
  <c r="D56" i="2"/>
  <c r="D55" i="2"/>
  <c r="D54" i="2"/>
  <c r="D53" i="2"/>
  <c r="D35" i="2"/>
  <c r="B56" i="2"/>
  <c r="B36" i="2"/>
  <c r="D36" i="2" s="1"/>
  <c r="B35" i="2"/>
  <c r="B34" i="2"/>
  <c r="B33" i="2"/>
  <c r="D33" i="2" s="1"/>
  <c r="B53" i="2"/>
  <c r="B10" i="2"/>
  <c r="B11" i="2"/>
  <c r="B25" i="2"/>
  <c r="B23" i="2"/>
  <c r="B26" i="2"/>
  <c r="C19" i="2"/>
  <c r="B9" i="2"/>
  <c r="B8" i="2"/>
  <c r="M185" i="2" l="1"/>
  <c r="I185" i="2"/>
  <c r="E185" i="2"/>
  <c r="C213" i="2"/>
  <c r="E18" i="2"/>
  <c r="D26" i="2"/>
  <c r="C185" i="2"/>
  <c r="B110" i="2"/>
  <c r="B145" i="2"/>
  <c r="B204" i="2" s="1"/>
  <c r="K185" i="2"/>
  <c r="G185" i="2"/>
  <c r="B186" i="2"/>
  <c r="C163" i="2" s="1"/>
  <c r="C166" i="2" s="1"/>
  <c r="C132" i="2"/>
  <c r="E56" i="2"/>
  <c r="B135" i="2"/>
  <c r="C135" i="2" s="1"/>
  <c r="C136" i="2" s="1"/>
  <c r="C36" i="2"/>
  <c r="B192" i="2" s="1"/>
  <c r="C194" i="2" s="1"/>
  <c r="C56" i="2"/>
  <c r="C97" i="2"/>
  <c r="B100" i="2" s="1"/>
  <c r="C100" i="2" s="1"/>
  <c r="C16" i="2"/>
  <c r="D34" i="2"/>
  <c r="E36" i="2" s="1"/>
  <c r="C117" i="2"/>
  <c r="C214" i="2" l="1"/>
  <c r="C186" i="2"/>
  <c r="D163" i="2" s="1"/>
  <c r="D166" i="2" s="1"/>
  <c r="D186" i="2" s="1"/>
  <c r="E163" i="2" s="1"/>
  <c r="E166" i="2" s="1"/>
  <c r="E186" i="2" s="1"/>
  <c r="F163" i="2" s="1"/>
  <c r="F166" i="2" s="1"/>
  <c r="F186" i="2" s="1"/>
  <c r="G163" i="2" s="1"/>
  <c r="G166" i="2" s="1"/>
  <c r="G186" i="2" s="1"/>
  <c r="H163" i="2" s="1"/>
  <c r="H166" i="2" s="1"/>
  <c r="H186" i="2" s="1"/>
  <c r="I163" i="2" s="1"/>
  <c r="I166" i="2" s="1"/>
  <c r="I186" i="2" s="1"/>
  <c r="J163" i="2" s="1"/>
  <c r="J166" i="2" s="1"/>
  <c r="J186" i="2" s="1"/>
  <c r="K163" i="2" s="1"/>
  <c r="K166" i="2" s="1"/>
  <c r="K186" i="2" s="1"/>
  <c r="L163" i="2" s="1"/>
  <c r="L166" i="2" s="1"/>
  <c r="L186" i="2" s="1"/>
  <c r="M163" i="2" s="1"/>
  <c r="M166" i="2" s="1"/>
  <c r="M186" i="2" s="1"/>
  <c r="C152" i="2"/>
  <c r="C153" i="2" s="1"/>
  <c r="B156" i="2" s="1"/>
  <c r="B39" i="2"/>
  <c r="C39" i="2" s="1"/>
  <c r="C101" i="2"/>
  <c r="C118" i="2" s="1"/>
  <c r="B122" i="2" s="1"/>
  <c r="C40" i="2" l="1"/>
  <c r="B68" i="2" s="1"/>
  <c r="E39" i="2"/>
  <c r="E40" i="2" s="1"/>
  <c r="B69" i="2" l="1"/>
  <c r="B86" i="2"/>
  <c r="B81" i="2"/>
  <c r="E57" i="2"/>
  <c r="B62" i="2" s="1"/>
  <c r="B73" i="2"/>
  <c r="B80" i="2"/>
  <c r="C57" i="2"/>
  <c r="B61" i="2" s="1"/>
  <c r="B72" i="2"/>
</calcChain>
</file>

<file path=xl/sharedStrings.xml><?xml version="1.0" encoding="utf-8"?>
<sst xmlns="http://schemas.openxmlformats.org/spreadsheetml/2006/main" count="234" uniqueCount="126">
  <si>
    <t xml:space="preserve">café </t>
  </si>
  <si>
    <t>expenditures</t>
  </si>
  <si>
    <t>wage $16+20 *126</t>
  </si>
  <si>
    <t>parttime manager</t>
  </si>
  <si>
    <t>marketing $10,000+1,000</t>
  </si>
  <si>
    <t>utility run $15*15571</t>
  </si>
  <si>
    <t>lease payment</t>
  </si>
  <si>
    <t>insurance 250*12</t>
  </si>
  <si>
    <t>mischellanious 350*12</t>
  </si>
  <si>
    <t>legal fees :</t>
  </si>
  <si>
    <t>licens and permit</t>
  </si>
  <si>
    <t>utility deposit</t>
  </si>
  <si>
    <t>rent deposit</t>
  </si>
  <si>
    <t>roaster installation</t>
  </si>
  <si>
    <t xml:space="preserve">pricing </t>
  </si>
  <si>
    <t>regular</t>
  </si>
  <si>
    <t>drip</t>
  </si>
  <si>
    <t>cost of production 20%s.p</t>
  </si>
  <si>
    <t>coffe bag /10  ounce 10% customers</t>
  </si>
  <si>
    <t>backed product 50% customers</t>
  </si>
  <si>
    <t>revenue 60%*online shop</t>
  </si>
  <si>
    <t xml:space="preserve">capital generation </t>
  </si>
  <si>
    <t xml:space="preserve">family contribution </t>
  </si>
  <si>
    <t>investor 60%share</t>
  </si>
  <si>
    <t>debt capital  13% loan</t>
  </si>
  <si>
    <t>CAFÉ XARAGUA</t>
  </si>
  <si>
    <t>$</t>
  </si>
  <si>
    <t>COSTS</t>
  </si>
  <si>
    <t>manager wage</t>
  </si>
  <si>
    <t xml:space="preserve">utility run </t>
  </si>
  <si>
    <t xml:space="preserve">insurance </t>
  </si>
  <si>
    <t>initial marketing</t>
  </si>
  <si>
    <t>regular coffee</t>
  </si>
  <si>
    <t>drip cofee</t>
  </si>
  <si>
    <t>coffe bag per10-ounce 10% customers</t>
  </si>
  <si>
    <t>1(b) list of sale items</t>
  </si>
  <si>
    <t xml:space="preserve"> 1(a). START UP COSTS</t>
  </si>
  <si>
    <t>2 budgeted contribution statement.</t>
  </si>
  <si>
    <t>budgeted (annual) contribution margin statement.</t>
  </si>
  <si>
    <t>PARTICULARS</t>
  </si>
  <si>
    <t>SALES REVENUE</t>
  </si>
  <si>
    <t xml:space="preserve">  regular coffee</t>
  </si>
  <si>
    <t xml:space="preserve">  drip cofee</t>
  </si>
  <si>
    <t xml:space="preserve">  backed product 50% customers</t>
  </si>
  <si>
    <t>coffee bag per10-ounce 10% customers</t>
  </si>
  <si>
    <t>1st year</t>
  </si>
  <si>
    <t>2nd yer</t>
  </si>
  <si>
    <t xml:space="preserve">less::cost of sale </t>
  </si>
  <si>
    <t>contribution margin</t>
  </si>
  <si>
    <t>telephone /internet</t>
  </si>
  <si>
    <t>less: fixed cost</t>
  </si>
  <si>
    <t>selling and distribution</t>
  </si>
  <si>
    <t xml:space="preserve">    initial marketing expense</t>
  </si>
  <si>
    <t xml:space="preserve">     monthy marketing expenditure</t>
  </si>
  <si>
    <t>legal fees:</t>
  </si>
  <si>
    <t xml:space="preserve">  licence and permit</t>
  </si>
  <si>
    <t xml:space="preserve">   lease permit</t>
  </si>
  <si>
    <t xml:space="preserve">wage </t>
  </si>
  <si>
    <t xml:space="preserve">mischellanious </t>
  </si>
  <si>
    <t>administration expenses:</t>
  </si>
  <si>
    <t>net operating income</t>
  </si>
  <si>
    <t>depreciation expense 10 years</t>
  </si>
  <si>
    <t>variable cost 60% selleing price</t>
  </si>
  <si>
    <t>2nd year</t>
  </si>
  <si>
    <t>Return on ivestment= net profit/total investment *100</t>
  </si>
  <si>
    <t>3. breakeven analysis</t>
  </si>
  <si>
    <t>break even in $= fixed cost/contribution margin</t>
  </si>
  <si>
    <t>margin of safety= sales-breakeven point/sales revenue</t>
  </si>
  <si>
    <t>MOS IN %</t>
  </si>
  <si>
    <t>1ST YEAR</t>
  </si>
  <si>
    <t>2ND YEAR</t>
  </si>
  <si>
    <t>DOL= QUANTITY*CONTRIBUTION/(Q*S.P-FIXED COST</t>
  </si>
  <si>
    <t>4. TARGET PROFIT</t>
  </si>
  <si>
    <t>BREAK EVEN WITH TARGET PROFIT=Fixed cost+target profit/contribution margin</t>
  </si>
  <si>
    <t>target profit</t>
  </si>
  <si>
    <t>t2ndyear</t>
  </si>
  <si>
    <t>5.(b) recomputation with 300 drinks</t>
  </si>
  <si>
    <t>5. (a)recomputation with 200 drinks</t>
  </si>
  <si>
    <t>6. cash budget</t>
  </si>
  <si>
    <t>july-june cash budget for the first year</t>
  </si>
  <si>
    <t>particulars</t>
  </si>
  <si>
    <t xml:space="preserve">jul </t>
  </si>
  <si>
    <t>aug</t>
  </si>
  <si>
    <t>sep</t>
  </si>
  <si>
    <t>oct</t>
  </si>
  <si>
    <t>nov</t>
  </si>
  <si>
    <t>dec</t>
  </si>
  <si>
    <t>jan</t>
  </si>
  <si>
    <t>feb</t>
  </si>
  <si>
    <t>mar</t>
  </si>
  <si>
    <t>april</t>
  </si>
  <si>
    <t xml:space="preserve">Sales receipts </t>
  </si>
  <si>
    <t>less: cash payment</t>
  </si>
  <si>
    <t>utility expense</t>
  </si>
  <si>
    <t>-</t>
  </si>
  <si>
    <t>may</t>
  </si>
  <si>
    <t>june</t>
  </si>
  <si>
    <t>total payments(b)</t>
  </si>
  <si>
    <t>6.cash budget annually</t>
  </si>
  <si>
    <t>bal b/d</t>
  </si>
  <si>
    <t>balc/d (a-b)</t>
  </si>
  <si>
    <t>loan</t>
  </si>
  <si>
    <t>totalrevenue (a)</t>
  </si>
  <si>
    <t>interest 13%</t>
  </si>
  <si>
    <t>cash revenue</t>
  </si>
  <si>
    <t>total revenue(a)</t>
  </si>
  <si>
    <t>less payments</t>
  </si>
  <si>
    <t>Asset paid for</t>
  </si>
  <si>
    <t>bal c/d (a-b)</t>
  </si>
  <si>
    <t>2ndyear</t>
  </si>
  <si>
    <t>Wage ($16*126*52)+20% benefit</t>
  </si>
  <si>
    <t>M\anager wage</t>
  </si>
  <si>
    <t>Initial Marketing</t>
  </si>
  <si>
    <t xml:space="preserve">Utility Run </t>
  </si>
  <si>
    <t xml:space="preserve">Insurance </t>
  </si>
  <si>
    <t>Telephone / Internet</t>
  </si>
  <si>
    <t>Mischellanious 350*12</t>
  </si>
  <si>
    <t>Legal Fees :</t>
  </si>
  <si>
    <t>Licence and Permit</t>
  </si>
  <si>
    <t xml:space="preserve">Utility Deposit </t>
  </si>
  <si>
    <t>Rent Deposit</t>
  </si>
  <si>
    <t>Roaster Installation</t>
  </si>
  <si>
    <t xml:space="preserve">Variable Cost </t>
  </si>
  <si>
    <t>Marketing Cost</t>
  </si>
  <si>
    <t>Lease Payment</t>
  </si>
  <si>
    <t>Fixed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</si>
</sst>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45C]* #,##0.00_-;\-[$$-45C]* #,##0.00_-;_-[$$-45C]* &quot;-&quot;??_-;_-@_-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u val="singleAccounting"/>
      <sz val="12"/>
      <color theme="1"/>
      <name val="Times New Roman"/>
      <family val="1"/>
    </font>
    <font>
      <b/>
      <u val="singleAccounting"/>
      <sz val="12"/>
      <color theme="1"/>
      <name val="Times New Roman"/>
      <family val="1"/>
    </font>
    <font>
      <u val="doubleAccounting"/>
      <sz val="12"/>
      <color theme="1"/>
      <name val="Times New Roman"/>
      <family val="1"/>
    </font>
    <font>
      <b/>
      <u val="doubleAccounting"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87">
    <xf numFmtId="0" fontId="0" fillId="0" borderId="0" xfId="0"/>
    <xf numFmtId="3" fontId="0" fillId="0" borderId="0" xfId="0" applyNumberFormat="1"/>
    <xf numFmtId="0" fontId="0" fillId="2" borderId="0" xfId="0" applyFill="1"/>
    <xf numFmtId="0" fontId="1" fillId="0" borderId="0" xfId="0" applyFont="1"/>
    <xf numFmtId="3" fontId="0" fillId="2" borderId="0" xfId="0" applyNumberFormat="1" applyFill="1"/>
    <xf numFmtId="0" fontId="2" fillId="0" borderId="0" xfId="0" applyFont="1"/>
    <xf numFmtId="164" fontId="2" fillId="0" borderId="0" xfId="0" applyNumberFormat="1" applyFont="1"/>
    <xf numFmtId="0" fontId="3" fillId="0" borderId="5" xfId="0" applyFont="1" applyBorder="1"/>
    <xf numFmtId="164" fontId="3" fillId="0" borderId="0" xfId="0" applyNumberFormat="1" applyFont="1" applyBorder="1"/>
    <xf numFmtId="164" fontId="3" fillId="0" borderId="6" xfId="0" applyNumberFormat="1" applyFont="1" applyBorder="1"/>
    <xf numFmtId="0" fontId="2" fillId="0" borderId="5" xfId="0" applyFont="1" applyBorder="1"/>
    <xf numFmtId="164" fontId="2" fillId="0" borderId="0" xfId="0" applyNumberFormat="1" applyFont="1" applyBorder="1"/>
    <xf numFmtId="164" fontId="2" fillId="0" borderId="6" xfId="0" applyNumberFormat="1" applyFont="1" applyBorder="1"/>
    <xf numFmtId="0" fontId="2" fillId="0" borderId="7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5" xfId="0" applyFont="1" applyFill="1" applyBorder="1"/>
    <xf numFmtId="164" fontId="2" fillId="0" borderId="5" xfId="0" applyNumberFormat="1" applyFont="1" applyBorder="1"/>
    <xf numFmtId="0" fontId="3" fillId="0" borderId="5" xfId="0" applyFont="1" applyFill="1" applyBorder="1"/>
    <xf numFmtId="0" fontId="2" fillId="0" borderId="7" xfId="0" applyFont="1" applyFill="1" applyBorder="1"/>
    <xf numFmtId="0" fontId="5" fillId="0" borderId="5" xfId="0" applyFont="1" applyFill="1" applyBorder="1"/>
    <xf numFmtId="164" fontId="2" fillId="0" borderId="13" xfId="0" applyNumberFormat="1" applyFont="1" applyBorder="1"/>
    <xf numFmtId="0" fontId="2" fillId="0" borderId="0" xfId="0" applyFont="1" applyFill="1" applyBorder="1" applyAlignment="1"/>
    <xf numFmtId="3" fontId="2" fillId="0" borderId="0" xfId="0" applyNumberFormat="1" applyFont="1"/>
    <xf numFmtId="0" fontId="2" fillId="0" borderId="10" xfId="0" applyFont="1" applyBorder="1"/>
    <xf numFmtId="164" fontId="2" fillId="0" borderId="10" xfId="0" applyNumberFormat="1" applyFont="1" applyBorder="1"/>
    <xf numFmtId="164" fontId="2" fillId="0" borderId="1" xfId="0" applyNumberFormat="1" applyFont="1" applyBorder="1"/>
    <xf numFmtId="164" fontId="2" fillId="0" borderId="12" xfId="0" applyNumberFormat="1" applyFont="1" applyBorder="1"/>
    <xf numFmtId="164" fontId="2" fillId="0" borderId="11" xfId="0" applyNumberFormat="1" applyFont="1" applyBorder="1"/>
    <xf numFmtId="164" fontId="2" fillId="0" borderId="15" xfId="0" applyNumberFormat="1" applyFont="1" applyBorder="1"/>
    <xf numFmtId="164" fontId="6" fillId="0" borderId="5" xfId="0" applyNumberFormat="1" applyFont="1" applyBorder="1"/>
    <xf numFmtId="164" fontId="6" fillId="0" borderId="6" xfId="0" applyNumberFormat="1" applyFont="1" applyBorder="1"/>
    <xf numFmtId="164" fontId="3" fillId="0" borderId="5" xfId="0" applyNumberFormat="1" applyFont="1" applyBorder="1"/>
    <xf numFmtId="164" fontId="3" fillId="0" borderId="13" xfId="0" applyNumberFormat="1" applyFont="1" applyBorder="1"/>
    <xf numFmtId="164" fontId="7" fillId="0" borderId="5" xfId="0" applyNumberFormat="1" applyFont="1" applyBorder="1"/>
    <xf numFmtId="164" fontId="7" fillId="0" borderId="6" xfId="0" applyNumberFormat="1" applyFont="1" applyBorder="1"/>
    <xf numFmtId="164" fontId="8" fillId="0" borderId="5" xfId="0" applyNumberFormat="1" applyFont="1" applyBorder="1"/>
    <xf numFmtId="164" fontId="8" fillId="0" borderId="6" xfId="0" applyNumberFormat="1" applyFont="1" applyBorder="1"/>
    <xf numFmtId="164" fontId="2" fillId="0" borderId="7" xfId="0" applyNumberFormat="1" applyFont="1" applyBorder="1"/>
    <xf numFmtId="164" fontId="2" fillId="0" borderId="14" xfId="0" applyNumberFormat="1" applyFont="1" applyBorder="1"/>
    <xf numFmtId="0" fontId="5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/>
    <xf numFmtId="0" fontId="3" fillId="0" borderId="0" xfId="0" applyFont="1"/>
    <xf numFmtId="0" fontId="2" fillId="0" borderId="0" xfId="0" applyFont="1" applyBorder="1" applyAlignment="1"/>
    <xf numFmtId="164" fontId="6" fillId="0" borderId="13" xfId="0" applyNumberFormat="1" applyFont="1" applyBorder="1"/>
    <xf numFmtId="164" fontId="6" fillId="0" borderId="0" xfId="0" applyNumberFormat="1" applyFont="1" applyBorder="1"/>
    <xf numFmtId="164" fontId="7" fillId="0" borderId="13" xfId="0" applyNumberFormat="1" applyFont="1" applyBorder="1"/>
    <xf numFmtId="164" fontId="7" fillId="0" borderId="0" xfId="0" applyNumberFormat="1" applyFont="1" applyBorder="1"/>
    <xf numFmtId="164" fontId="8" fillId="0" borderId="13" xfId="0" applyNumberFormat="1" applyFont="1" applyBorder="1"/>
    <xf numFmtId="164" fontId="8" fillId="0" borderId="0" xfId="0" applyNumberFormat="1" applyFont="1" applyBorder="1"/>
    <xf numFmtId="164" fontId="4" fillId="0" borderId="5" xfId="0" applyNumberFormat="1" applyFont="1" applyBorder="1"/>
    <xf numFmtId="164" fontId="4" fillId="0" borderId="13" xfId="0" applyNumberFormat="1" applyFont="1" applyBorder="1"/>
    <xf numFmtId="0" fontId="3" fillId="0" borderId="7" xfId="0" applyFont="1" applyBorder="1"/>
    <xf numFmtId="164" fontId="9" fillId="0" borderId="9" xfId="0" applyNumberFormat="1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3" xfId="0" applyFont="1" applyBorder="1"/>
    <xf numFmtId="0" fontId="3" fillId="0" borderId="13" xfId="0" applyFont="1" applyBorder="1"/>
    <xf numFmtId="0" fontId="5" fillId="0" borderId="13" xfId="0" applyFont="1" applyBorder="1"/>
    <xf numFmtId="0" fontId="3" fillId="0" borderId="13" xfId="0" applyFont="1" applyFill="1" applyBorder="1"/>
    <xf numFmtId="0" fontId="2" fillId="0" borderId="13" xfId="0" applyFont="1" applyFill="1" applyBorder="1"/>
    <xf numFmtId="0" fontId="5" fillId="0" borderId="13" xfId="0" applyFont="1" applyFill="1" applyBorder="1"/>
    <xf numFmtId="0" fontId="2" fillId="0" borderId="14" xfId="0" applyFont="1" applyBorder="1"/>
    <xf numFmtId="0" fontId="2" fillId="0" borderId="1" xfId="0" applyFont="1" applyBorder="1"/>
    <xf numFmtId="0" fontId="2" fillId="0" borderId="11" xfId="0" applyFont="1" applyBorder="1"/>
    <xf numFmtId="0" fontId="5" fillId="0" borderId="5" xfId="0" applyFont="1" applyBorder="1"/>
    <xf numFmtId="10" fontId="2" fillId="0" borderId="0" xfId="1" applyNumberFormat="1" applyFont="1"/>
    <xf numFmtId="164" fontId="5" fillId="0" borderId="0" xfId="0" applyNumberFormat="1" applyFont="1"/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opLeftCell="A19" workbookViewId="0">
      <selection activeCell="A21" sqref="A21"/>
    </sheetView>
  </sheetViews>
  <sheetFormatPr defaultRowHeight="15" x14ac:dyDescent="0.25"/>
  <cols>
    <col min="1" max="1" width="29.5703125" customWidth="1"/>
    <col min="2" max="2" width="16.285156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3</v>
      </c>
      <c r="B4">
        <v>25000</v>
      </c>
    </row>
    <row r="5" spans="1:2" x14ac:dyDescent="0.25">
      <c r="A5" t="s">
        <v>4</v>
      </c>
    </row>
    <row r="6" spans="1:2" x14ac:dyDescent="0.25">
      <c r="A6" t="s">
        <v>5</v>
      </c>
    </row>
    <row r="7" spans="1:2" x14ac:dyDescent="0.25">
      <c r="A7" t="s">
        <v>6</v>
      </c>
      <c r="B7" s="1">
        <v>35000</v>
      </c>
    </row>
    <row r="8" spans="1:2" x14ac:dyDescent="0.25">
      <c r="A8" t="s">
        <v>7</v>
      </c>
    </row>
    <row r="9" spans="1:2" x14ac:dyDescent="0.25">
      <c r="A9" t="s">
        <v>8</v>
      </c>
    </row>
    <row r="10" spans="1:2" x14ac:dyDescent="0.25">
      <c r="A10" t="s">
        <v>9</v>
      </c>
    </row>
    <row r="11" spans="1:2" x14ac:dyDescent="0.25">
      <c r="A11" t="s">
        <v>10</v>
      </c>
      <c r="B11" s="1">
        <v>10000</v>
      </c>
    </row>
    <row r="12" spans="1:2" x14ac:dyDescent="0.25">
      <c r="A12" t="s">
        <v>11</v>
      </c>
      <c r="B12">
        <v>2000</v>
      </c>
    </row>
    <row r="13" spans="1:2" x14ac:dyDescent="0.25">
      <c r="A13" t="s">
        <v>12</v>
      </c>
      <c r="B13">
        <v>6000</v>
      </c>
    </row>
    <row r="14" spans="1:2" x14ac:dyDescent="0.25">
      <c r="A14" t="s">
        <v>13</v>
      </c>
      <c r="B14">
        <v>16000</v>
      </c>
    </row>
    <row r="17" spans="1:2" x14ac:dyDescent="0.25">
      <c r="A17" s="3" t="s">
        <v>14</v>
      </c>
    </row>
    <row r="18" spans="1:2" x14ac:dyDescent="0.25">
      <c r="A18" t="s">
        <v>15</v>
      </c>
      <c r="B18">
        <v>3</v>
      </c>
    </row>
    <row r="19" spans="1:2" x14ac:dyDescent="0.25">
      <c r="A19" t="s">
        <v>16</v>
      </c>
      <c r="B19">
        <v>4</v>
      </c>
    </row>
    <row r="20" spans="1:2" x14ac:dyDescent="0.25">
      <c r="A20" t="s">
        <v>19</v>
      </c>
      <c r="B20">
        <v>2.5</v>
      </c>
    </row>
    <row r="21" spans="1:2" x14ac:dyDescent="0.25">
      <c r="A21" t="s">
        <v>17</v>
      </c>
    </row>
    <row r="22" spans="1:2" x14ac:dyDescent="0.25">
      <c r="A22" t="s">
        <v>18</v>
      </c>
      <c r="B22">
        <v>16.5</v>
      </c>
    </row>
    <row r="23" spans="1:2" x14ac:dyDescent="0.25">
      <c r="A23" t="s">
        <v>20</v>
      </c>
    </row>
    <row r="24" spans="1:2" x14ac:dyDescent="0.25">
      <c r="A24" t="s">
        <v>21</v>
      </c>
    </row>
    <row r="25" spans="1:2" x14ac:dyDescent="0.25">
      <c r="A25" t="s">
        <v>22</v>
      </c>
      <c r="B25">
        <v>75000</v>
      </c>
    </row>
    <row r="26" spans="1:2" x14ac:dyDescent="0.25">
      <c r="A26" s="2" t="s">
        <v>23</v>
      </c>
      <c r="B26" s="4">
        <v>250000</v>
      </c>
    </row>
    <row r="27" spans="1:2" x14ac:dyDescent="0.25">
      <c r="A27" t="s">
        <v>24</v>
      </c>
      <c r="B27">
        <v>250000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4"/>
  <sheetViews>
    <sheetView tabSelected="1" topLeftCell="A193" workbookViewId="0">
      <selection activeCell="B80" sqref="B80"/>
    </sheetView>
  </sheetViews>
  <sheetFormatPr defaultRowHeight="15.75" x14ac:dyDescent="0.25"/>
  <cols>
    <col min="1" max="1" width="32.42578125" style="5" customWidth="1"/>
    <col min="2" max="2" width="17.5703125" style="6" customWidth="1"/>
    <col min="3" max="3" width="15.7109375" style="6" customWidth="1"/>
    <col min="4" max="5" width="14.85546875" style="6" customWidth="1"/>
    <col min="6" max="6" width="15.28515625" style="5" bestFit="1" customWidth="1"/>
    <col min="7" max="7" width="15" style="5" customWidth="1"/>
    <col min="8" max="8" width="14.140625" style="5" customWidth="1"/>
    <col min="9" max="9" width="15.7109375" style="5" customWidth="1"/>
    <col min="10" max="10" width="19" style="5" customWidth="1"/>
    <col min="11" max="11" width="15.7109375" style="5" customWidth="1"/>
    <col min="12" max="12" width="18.42578125" style="5" customWidth="1"/>
    <col min="13" max="13" width="15.85546875" style="5" customWidth="1"/>
    <col min="14" max="16384" width="9.140625" style="5"/>
  </cols>
  <sheetData>
    <row r="1" spans="1:6" ht="16.5" thickBot="1" x14ac:dyDescent="0.3">
      <c r="A1" s="5" t="s">
        <v>36</v>
      </c>
    </row>
    <row r="2" spans="1:6" x14ac:dyDescent="0.25">
      <c r="A2" s="75" t="s">
        <v>25</v>
      </c>
      <c r="B2" s="76"/>
      <c r="C2" s="77"/>
    </row>
    <row r="3" spans="1:6" x14ac:dyDescent="0.25">
      <c r="A3" s="7" t="s">
        <v>27</v>
      </c>
      <c r="B3" s="8" t="s">
        <v>26</v>
      </c>
      <c r="C3" s="9" t="s">
        <v>26</v>
      </c>
    </row>
    <row r="4" spans="1:6" x14ac:dyDescent="0.25">
      <c r="A4" s="7" t="s">
        <v>125</v>
      </c>
      <c r="B4" s="8"/>
      <c r="C4" s="9"/>
    </row>
    <row r="5" spans="1:6" x14ac:dyDescent="0.25">
      <c r="A5" s="10" t="s">
        <v>110</v>
      </c>
      <c r="B5" s="11">
        <f>16*126*52+(20/100*104832)</f>
        <v>125798.39999999999</v>
      </c>
      <c r="C5" s="12"/>
    </row>
    <row r="6" spans="1:6" x14ac:dyDescent="0.25">
      <c r="A6" s="10" t="s">
        <v>111</v>
      </c>
      <c r="B6" s="11">
        <v>35000</v>
      </c>
      <c r="C6" s="12"/>
    </row>
    <row r="7" spans="1:6" x14ac:dyDescent="0.25">
      <c r="A7" s="10" t="s">
        <v>112</v>
      </c>
      <c r="B7" s="11">
        <v>10000</v>
      </c>
      <c r="C7" s="12"/>
    </row>
    <row r="8" spans="1:6" x14ac:dyDescent="0.25">
      <c r="A8" s="10" t="s">
        <v>113</v>
      </c>
      <c r="B8" s="11">
        <f>15*1571</f>
        <v>23565</v>
      </c>
      <c r="C8" s="12"/>
      <c r="F8" s="5">
        <f>16*126*52</f>
        <v>104832</v>
      </c>
    </row>
    <row r="9" spans="1:6" x14ac:dyDescent="0.25">
      <c r="A9" s="10" t="s">
        <v>114</v>
      </c>
      <c r="B9" s="11">
        <f>250*12</f>
        <v>3000</v>
      </c>
      <c r="C9" s="12"/>
      <c r="F9" s="5">
        <f>20/100*F8</f>
        <v>20966.400000000001</v>
      </c>
    </row>
    <row r="10" spans="1:6" x14ac:dyDescent="0.25">
      <c r="A10" s="10" t="s">
        <v>115</v>
      </c>
      <c r="B10" s="11">
        <f>300*12</f>
        <v>3600</v>
      </c>
      <c r="C10" s="12"/>
      <c r="F10" s="5">
        <f>F8+F9</f>
        <v>125798.39999999999</v>
      </c>
    </row>
    <row r="11" spans="1:6" x14ac:dyDescent="0.25">
      <c r="A11" s="10" t="s">
        <v>116</v>
      </c>
      <c r="B11" s="11">
        <f>350*12</f>
        <v>4200</v>
      </c>
      <c r="C11" s="12"/>
    </row>
    <row r="12" spans="1:6" x14ac:dyDescent="0.25">
      <c r="A12" s="7" t="s">
        <v>117</v>
      </c>
      <c r="B12" s="11"/>
      <c r="C12" s="12"/>
    </row>
    <row r="13" spans="1:6" x14ac:dyDescent="0.25">
      <c r="A13" s="10" t="s">
        <v>118</v>
      </c>
      <c r="B13" s="11">
        <v>10000</v>
      </c>
      <c r="C13" s="12"/>
      <c r="F13" s="25"/>
    </row>
    <row r="14" spans="1:6" x14ac:dyDescent="0.25">
      <c r="A14" s="10" t="s">
        <v>119</v>
      </c>
      <c r="B14" s="11">
        <v>2000</v>
      </c>
      <c r="C14" s="12"/>
    </row>
    <row r="15" spans="1:6" x14ac:dyDescent="0.25">
      <c r="A15" s="10" t="s">
        <v>120</v>
      </c>
      <c r="B15" s="11">
        <v>6000</v>
      </c>
      <c r="C15" s="12"/>
    </row>
    <row r="16" spans="1:6" x14ac:dyDescent="0.25">
      <c r="A16" s="10" t="s">
        <v>121</v>
      </c>
      <c r="B16" s="11">
        <v>16000</v>
      </c>
      <c r="C16" s="12">
        <f>SUM(B5:B16)</f>
        <v>239163.4</v>
      </c>
    </row>
    <row r="17" spans="1:5" x14ac:dyDescent="0.25">
      <c r="A17" s="7" t="s">
        <v>122</v>
      </c>
      <c r="B17" s="11"/>
      <c r="C17" s="12"/>
    </row>
    <row r="18" spans="1:5" x14ac:dyDescent="0.25">
      <c r="A18" s="10" t="s">
        <v>123</v>
      </c>
      <c r="B18" s="11">
        <v>12000</v>
      </c>
      <c r="C18" s="12"/>
      <c r="E18" s="6">
        <f>C19+(SUM(B7:B16))</f>
        <v>125365</v>
      </c>
    </row>
    <row r="19" spans="1:5" ht="16.5" thickBot="1" x14ac:dyDescent="0.3">
      <c r="A19" s="13" t="s">
        <v>124</v>
      </c>
      <c r="B19" s="14">
        <v>35000</v>
      </c>
      <c r="C19" s="15">
        <f>B18+B19</f>
        <v>47000</v>
      </c>
    </row>
    <row r="21" spans="1:5" ht="16.5" thickBot="1" x14ac:dyDescent="0.3">
      <c r="A21" s="16" t="s">
        <v>35</v>
      </c>
      <c r="B21" s="11"/>
    </row>
    <row r="22" spans="1:5" ht="16.5" thickBot="1" x14ac:dyDescent="0.3">
      <c r="A22" s="72" t="s">
        <v>25</v>
      </c>
      <c r="B22" s="74"/>
    </row>
    <row r="23" spans="1:5" x14ac:dyDescent="0.25">
      <c r="A23" s="10" t="s">
        <v>32</v>
      </c>
      <c r="B23" s="12">
        <f>(200+300)/2*3</f>
        <v>750</v>
      </c>
    </row>
    <row r="24" spans="1:5" x14ac:dyDescent="0.25">
      <c r="A24" s="10" t="s">
        <v>33</v>
      </c>
      <c r="B24" s="12">
        <f>(200+300)/2*4</f>
        <v>1000</v>
      </c>
    </row>
    <row r="25" spans="1:5" x14ac:dyDescent="0.25">
      <c r="A25" s="10" t="s">
        <v>19</v>
      </c>
      <c r="B25" s="12">
        <f>(250/5)*2.5</f>
        <v>125</v>
      </c>
    </row>
    <row r="26" spans="1:5" ht="16.5" thickBot="1" x14ac:dyDescent="0.3">
      <c r="A26" s="13" t="s">
        <v>34</v>
      </c>
      <c r="B26" s="15">
        <f>(250*10/100)*16.5</f>
        <v>412.5</v>
      </c>
      <c r="D26" s="6">
        <f>SUM(B23:B26)</f>
        <v>2287.5</v>
      </c>
    </row>
    <row r="28" spans="1:5" ht="16.5" thickBot="1" x14ac:dyDescent="0.3">
      <c r="A28" s="5" t="s">
        <v>37</v>
      </c>
    </row>
    <row r="29" spans="1:5" x14ac:dyDescent="0.25">
      <c r="A29" s="78" t="s">
        <v>25</v>
      </c>
      <c r="B29" s="79"/>
      <c r="C29" s="79"/>
      <c r="D29" s="79"/>
      <c r="E29" s="80"/>
    </row>
    <row r="30" spans="1:5" ht="16.5" thickBot="1" x14ac:dyDescent="0.3">
      <c r="A30" s="84" t="s">
        <v>38</v>
      </c>
      <c r="B30" s="85"/>
      <c r="C30" s="85"/>
      <c r="D30" s="85"/>
      <c r="E30" s="86"/>
    </row>
    <row r="31" spans="1:5" ht="16.5" thickBot="1" x14ac:dyDescent="0.3">
      <c r="A31" s="26" t="s">
        <v>39</v>
      </c>
      <c r="B31" s="27" t="s">
        <v>45</v>
      </c>
      <c r="C31" s="28"/>
      <c r="D31" s="29" t="s">
        <v>46</v>
      </c>
      <c r="E31" s="30"/>
    </row>
    <row r="32" spans="1:5" x14ac:dyDescent="0.25">
      <c r="A32" s="10" t="s">
        <v>40</v>
      </c>
      <c r="B32" s="19"/>
      <c r="C32" s="19"/>
      <c r="D32" s="31"/>
      <c r="E32" s="12"/>
    </row>
    <row r="33" spans="1:5" x14ac:dyDescent="0.25">
      <c r="A33" s="10" t="s">
        <v>41</v>
      </c>
      <c r="B33" s="19">
        <f>750*365</f>
        <v>273750</v>
      </c>
      <c r="C33" s="19"/>
      <c r="D33" s="23">
        <f>+B33</f>
        <v>273750</v>
      </c>
      <c r="E33" s="12"/>
    </row>
    <row r="34" spans="1:5" x14ac:dyDescent="0.25">
      <c r="A34" s="10" t="s">
        <v>42</v>
      </c>
      <c r="B34" s="19">
        <f>1000*365</f>
        <v>365000</v>
      </c>
      <c r="C34" s="19"/>
      <c r="D34" s="23">
        <f>+B34</f>
        <v>365000</v>
      </c>
      <c r="E34" s="12"/>
    </row>
    <row r="35" spans="1:5" x14ac:dyDescent="0.25">
      <c r="A35" s="10" t="s">
        <v>43</v>
      </c>
      <c r="B35" s="19">
        <f>(125*2.5)*365</f>
        <v>114062.5</v>
      </c>
      <c r="C35" s="19"/>
      <c r="D35" s="23">
        <f>+B35</f>
        <v>114062.5</v>
      </c>
      <c r="E35" s="12"/>
    </row>
    <row r="36" spans="1:5" x14ac:dyDescent="0.25">
      <c r="A36" s="10" t="s">
        <v>44</v>
      </c>
      <c r="B36" s="19">
        <f>(250*0.1)*16.5*365</f>
        <v>150562.5</v>
      </c>
      <c r="C36" s="19">
        <f>SUM(B33:B36)</f>
        <v>903375</v>
      </c>
      <c r="D36" s="23">
        <f>+B36</f>
        <v>150562.5</v>
      </c>
      <c r="E36" s="12">
        <f>SUM(D33:D36)</f>
        <v>903375</v>
      </c>
    </row>
    <row r="37" spans="1:5" x14ac:dyDescent="0.25">
      <c r="A37" s="10"/>
      <c r="B37" s="19"/>
      <c r="C37" s="19"/>
      <c r="D37" s="23"/>
      <c r="E37" s="12"/>
    </row>
    <row r="38" spans="1:5" x14ac:dyDescent="0.25">
      <c r="A38" s="18" t="s">
        <v>47</v>
      </c>
      <c r="B38" s="19"/>
      <c r="C38" s="19"/>
      <c r="D38" s="23"/>
      <c r="E38" s="12"/>
    </row>
    <row r="39" spans="1:5" ht="18" x14ac:dyDescent="0.4">
      <c r="A39" s="18" t="s">
        <v>62</v>
      </c>
      <c r="B39" s="19">
        <f>60/100*C36</f>
        <v>542025</v>
      </c>
      <c r="C39" s="32">
        <f>+B39</f>
        <v>542025</v>
      </c>
      <c r="D39" s="23"/>
      <c r="E39" s="33">
        <f>+C39</f>
        <v>542025</v>
      </c>
    </row>
    <row r="40" spans="1:5" x14ac:dyDescent="0.25">
      <c r="A40" s="20" t="s">
        <v>48</v>
      </c>
      <c r="B40" s="34"/>
      <c r="C40" s="34">
        <f>C36-C39</f>
        <v>361350</v>
      </c>
      <c r="D40" s="35"/>
      <c r="E40" s="9">
        <f t="shared" ref="E40" si="0">E36-E39</f>
        <v>361350</v>
      </c>
    </row>
    <row r="41" spans="1:5" x14ac:dyDescent="0.25">
      <c r="A41" s="18" t="s">
        <v>50</v>
      </c>
      <c r="B41" s="19"/>
      <c r="C41" s="19"/>
      <c r="D41" s="23"/>
      <c r="E41" s="12"/>
    </row>
    <row r="42" spans="1:5" x14ac:dyDescent="0.25">
      <c r="A42" s="20" t="s">
        <v>51</v>
      </c>
      <c r="B42" s="19"/>
      <c r="C42" s="19"/>
      <c r="D42" s="23"/>
      <c r="E42" s="12"/>
    </row>
    <row r="43" spans="1:5" x14ac:dyDescent="0.25">
      <c r="A43" s="18" t="s">
        <v>52</v>
      </c>
      <c r="B43" s="19">
        <v>10000</v>
      </c>
      <c r="C43" s="19"/>
      <c r="D43" s="23"/>
      <c r="E43" s="12"/>
    </row>
    <row r="44" spans="1:5" x14ac:dyDescent="0.25">
      <c r="A44" s="18" t="s">
        <v>53</v>
      </c>
      <c r="B44" s="19">
        <v>11000</v>
      </c>
      <c r="C44" s="19"/>
      <c r="D44" s="23">
        <v>10000</v>
      </c>
      <c r="E44" s="12"/>
    </row>
    <row r="45" spans="1:5" x14ac:dyDescent="0.25">
      <c r="A45" s="20" t="s">
        <v>54</v>
      </c>
      <c r="B45" s="19"/>
      <c r="C45" s="19"/>
      <c r="D45" s="23"/>
      <c r="E45" s="12"/>
    </row>
    <row r="46" spans="1:5" x14ac:dyDescent="0.25">
      <c r="A46" s="10" t="s">
        <v>55</v>
      </c>
      <c r="B46" s="19">
        <v>10000</v>
      </c>
      <c r="C46" s="19"/>
      <c r="D46" s="23">
        <v>10000</v>
      </c>
      <c r="E46" s="12"/>
    </row>
    <row r="47" spans="1:5" x14ac:dyDescent="0.25">
      <c r="A47" s="18" t="s">
        <v>56</v>
      </c>
      <c r="B47" s="19">
        <v>35000</v>
      </c>
      <c r="C47" s="19"/>
      <c r="D47" s="23">
        <v>35000</v>
      </c>
      <c r="E47" s="12"/>
    </row>
    <row r="48" spans="1:5" x14ac:dyDescent="0.25">
      <c r="A48" s="20" t="s">
        <v>59</v>
      </c>
      <c r="B48" s="19"/>
      <c r="C48" s="19"/>
      <c r="D48" s="23"/>
      <c r="E48" s="12"/>
    </row>
    <row r="49" spans="1:5" x14ac:dyDescent="0.25">
      <c r="A49" s="69" t="s">
        <v>57</v>
      </c>
      <c r="B49" s="53">
        <f>+B5</f>
        <v>125798.39999999999</v>
      </c>
      <c r="C49" s="53"/>
      <c r="D49" s="54">
        <f>+B5</f>
        <v>125798.39999999999</v>
      </c>
      <c r="E49" s="12"/>
    </row>
    <row r="50" spans="1:5" x14ac:dyDescent="0.25">
      <c r="A50" s="10" t="s">
        <v>28</v>
      </c>
      <c r="B50" s="19">
        <v>17500</v>
      </c>
      <c r="C50" s="19"/>
      <c r="D50" s="23">
        <v>17500</v>
      </c>
      <c r="E50" s="12"/>
    </row>
    <row r="51" spans="1:5" x14ac:dyDescent="0.25">
      <c r="A51" s="10" t="s">
        <v>31</v>
      </c>
      <c r="B51" s="19">
        <v>10000</v>
      </c>
      <c r="C51" s="19"/>
      <c r="D51" s="23">
        <v>10000</v>
      </c>
      <c r="E51" s="12"/>
    </row>
    <row r="52" spans="1:5" x14ac:dyDescent="0.25">
      <c r="A52" s="10" t="s">
        <v>93</v>
      </c>
      <c r="B52" s="19">
        <f>(15*1571)-2000</f>
        <v>21565</v>
      </c>
      <c r="C52" s="19"/>
      <c r="D52" s="23">
        <f>(15*1571)-2000</f>
        <v>21565</v>
      </c>
      <c r="E52" s="12"/>
    </row>
    <row r="53" spans="1:5" x14ac:dyDescent="0.25">
      <c r="A53" s="10" t="s">
        <v>30</v>
      </c>
      <c r="B53" s="19">
        <f>250*12</f>
        <v>3000</v>
      </c>
      <c r="C53" s="19"/>
      <c r="D53" s="23">
        <f>250*12</f>
        <v>3000</v>
      </c>
      <c r="E53" s="12"/>
    </row>
    <row r="54" spans="1:5" x14ac:dyDescent="0.25">
      <c r="A54" s="10" t="s">
        <v>49</v>
      </c>
      <c r="B54" s="19">
        <f>300*12</f>
        <v>3600</v>
      </c>
      <c r="C54" s="19"/>
      <c r="D54" s="23">
        <f>300*12</f>
        <v>3600</v>
      </c>
      <c r="E54" s="12"/>
    </row>
    <row r="55" spans="1:5" x14ac:dyDescent="0.25">
      <c r="A55" s="10" t="s">
        <v>58</v>
      </c>
      <c r="B55" s="19">
        <f>350*12</f>
        <v>4200</v>
      </c>
      <c r="C55" s="19"/>
      <c r="D55" s="23">
        <f>350*12</f>
        <v>4200</v>
      </c>
      <c r="E55" s="12"/>
    </row>
    <row r="56" spans="1:5" ht="20.25" x14ac:dyDescent="0.55000000000000004">
      <c r="A56" s="22" t="s">
        <v>61</v>
      </c>
      <c r="B56" s="19">
        <f>144250/10</f>
        <v>14425</v>
      </c>
      <c r="C56" s="36">
        <f>SUM(B43:B56)</f>
        <v>266088.40000000002</v>
      </c>
      <c r="D56" s="23">
        <f>144250/10</f>
        <v>14425</v>
      </c>
      <c r="E56" s="37">
        <f>SUM(D44:D56)</f>
        <v>255088.4</v>
      </c>
    </row>
    <row r="57" spans="1:5" ht="18" x14ac:dyDescent="0.4">
      <c r="A57" s="20" t="s">
        <v>60</v>
      </c>
      <c r="B57" s="19"/>
      <c r="C57" s="38">
        <f>C40-C56</f>
        <v>95261.599999999977</v>
      </c>
      <c r="D57" s="23"/>
      <c r="E57" s="39">
        <f>E40-E56</f>
        <v>106261.6</v>
      </c>
    </row>
    <row r="58" spans="1:5" ht="16.5" thickBot="1" x14ac:dyDescent="0.3">
      <c r="A58" s="21"/>
      <c r="B58" s="40"/>
      <c r="C58" s="40"/>
      <c r="D58" s="41"/>
      <c r="E58" s="15"/>
    </row>
    <row r="59" spans="1:5" x14ac:dyDescent="0.25">
      <c r="A59" s="16"/>
      <c r="B59" s="11"/>
      <c r="C59" s="11"/>
      <c r="D59" s="11"/>
      <c r="E59" s="11"/>
    </row>
    <row r="60" spans="1:5" ht="31.5" x14ac:dyDescent="0.25">
      <c r="A60" s="42" t="s">
        <v>64</v>
      </c>
      <c r="B60" s="11"/>
      <c r="C60" s="11"/>
      <c r="D60" s="11"/>
      <c r="E60" s="11"/>
    </row>
    <row r="61" spans="1:5" x14ac:dyDescent="0.25">
      <c r="A61" s="16" t="s">
        <v>45</v>
      </c>
      <c r="B61" s="11">
        <f>(C57/250000)*100</f>
        <v>38.104639999999989</v>
      </c>
      <c r="C61" s="11"/>
      <c r="D61" s="11"/>
      <c r="E61" s="11"/>
    </row>
    <row r="62" spans="1:5" x14ac:dyDescent="0.25">
      <c r="A62" s="5" t="s">
        <v>63</v>
      </c>
      <c r="B62" s="11">
        <f>(E57/250000)*100</f>
        <v>42.504640000000002</v>
      </c>
    </row>
    <row r="65" spans="1:6" x14ac:dyDescent="0.25">
      <c r="A65" s="5" t="s">
        <v>65</v>
      </c>
    </row>
    <row r="66" spans="1:6" ht="31.5" x14ac:dyDescent="0.25">
      <c r="A66" s="43" t="s">
        <v>66</v>
      </c>
    </row>
    <row r="68" spans="1:6" x14ac:dyDescent="0.25">
      <c r="A68" s="5" t="s">
        <v>45</v>
      </c>
      <c r="B68" s="6">
        <f>C56/(C40/C36)</f>
        <v>665221</v>
      </c>
    </row>
    <row r="69" spans="1:6" x14ac:dyDescent="0.25">
      <c r="A69" s="5" t="s">
        <v>63</v>
      </c>
      <c r="B69" s="6">
        <f>E56/(E40/E36)</f>
        <v>637721</v>
      </c>
    </row>
    <row r="71" spans="1:6" ht="31.5" x14ac:dyDescent="0.25">
      <c r="A71" s="43" t="s">
        <v>67</v>
      </c>
    </row>
    <row r="72" spans="1:6" x14ac:dyDescent="0.25">
      <c r="A72" s="5" t="s">
        <v>45</v>
      </c>
      <c r="B72" s="6">
        <f>(C36-B68)/C36</f>
        <v>0.26362695447626955</v>
      </c>
    </row>
    <row r="73" spans="1:6" x14ac:dyDescent="0.25">
      <c r="A73" s="5" t="s">
        <v>63</v>
      </c>
      <c r="B73" s="6">
        <f>(E36-B69)/E36</f>
        <v>0.29406835478068355</v>
      </c>
    </row>
    <row r="75" spans="1:6" x14ac:dyDescent="0.25">
      <c r="A75" s="5" t="s">
        <v>68</v>
      </c>
    </row>
    <row r="76" spans="1:6" x14ac:dyDescent="0.25">
      <c r="A76" s="5" t="s">
        <v>69</v>
      </c>
      <c r="B76" s="70">
        <f>+B72</f>
        <v>0.26362695447626955</v>
      </c>
    </row>
    <row r="77" spans="1:6" x14ac:dyDescent="0.25">
      <c r="A77" s="5" t="s">
        <v>70</v>
      </c>
      <c r="B77" s="70">
        <f>+B73</f>
        <v>0.29406835478068355</v>
      </c>
    </row>
    <row r="79" spans="1:6" x14ac:dyDescent="0.25">
      <c r="A79" s="44" t="s">
        <v>71</v>
      </c>
      <c r="B79" s="71"/>
    </row>
    <row r="80" spans="1:6" x14ac:dyDescent="0.25">
      <c r="A80" s="44" t="s">
        <v>69</v>
      </c>
      <c r="B80" s="71">
        <f>250*C40/(90337500-(C56))</f>
        <v>1.0029541937366506</v>
      </c>
      <c r="F80" s="6"/>
    </row>
    <row r="81" spans="1:5" x14ac:dyDescent="0.25">
      <c r="A81" s="44" t="s">
        <v>70</v>
      </c>
      <c r="B81" s="71">
        <f>250*E40/(90337500-(E56))</f>
        <v>1.0028317225912278</v>
      </c>
    </row>
    <row r="83" spans="1:5" x14ac:dyDescent="0.25">
      <c r="A83" s="44" t="s">
        <v>72</v>
      </c>
    </row>
    <row r="84" spans="1:5" x14ac:dyDescent="0.25">
      <c r="A84" s="44" t="s">
        <v>73</v>
      </c>
    </row>
    <row r="85" spans="1:5" x14ac:dyDescent="0.25">
      <c r="A85" s="44" t="s">
        <v>74</v>
      </c>
      <c r="B85" s="6">
        <v>50000</v>
      </c>
    </row>
    <row r="86" spans="1:5" x14ac:dyDescent="0.25">
      <c r="A86" s="5" t="s">
        <v>63</v>
      </c>
      <c r="B86" s="6">
        <f>E56+B85/(E40/E36)</f>
        <v>380088.4</v>
      </c>
    </row>
    <row r="89" spans="1:5" ht="16.5" thickBot="1" x14ac:dyDescent="0.3">
      <c r="A89" s="45" t="s">
        <v>77</v>
      </c>
    </row>
    <row r="90" spans="1:5" x14ac:dyDescent="0.25">
      <c r="A90" s="78" t="s">
        <v>25</v>
      </c>
      <c r="B90" s="79"/>
      <c r="C90" s="80"/>
      <c r="D90" s="24"/>
      <c r="E90" s="24"/>
    </row>
    <row r="91" spans="1:5" ht="15.75" customHeight="1" thickBot="1" x14ac:dyDescent="0.3">
      <c r="A91" s="81" t="s">
        <v>38</v>
      </c>
      <c r="B91" s="82"/>
      <c r="C91" s="83"/>
      <c r="D91" s="46"/>
      <c r="E91" s="46"/>
    </row>
    <row r="92" spans="1:5" ht="16.5" thickBot="1" x14ac:dyDescent="0.3">
      <c r="A92" s="26" t="s">
        <v>39</v>
      </c>
      <c r="B92" s="27" t="s">
        <v>109</v>
      </c>
      <c r="C92" s="28"/>
      <c r="D92" s="11"/>
      <c r="E92" s="11"/>
    </row>
    <row r="93" spans="1:5" x14ac:dyDescent="0.25">
      <c r="A93" s="10" t="s">
        <v>40</v>
      </c>
      <c r="B93" s="19"/>
      <c r="C93" s="23"/>
      <c r="D93" s="11"/>
      <c r="E93" s="11"/>
    </row>
    <row r="94" spans="1:5" x14ac:dyDescent="0.25">
      <c r="A94" s="10" t="s">
        <v>41</v>
      </c>
      <c r="B94" s="19">
        <f>300*3*365</f>
        <v>328500</v>
      </c>
      <c r="C94" s="23"/>
      <c r="D94" s="11"/>
      <c r="E94" s="11"/>
    </row>
    <row r="95" spans="1:5" x14ac:dyDescent="0.25">
      <c r="A95" s="10" t="s">
        <v>42</v>
      </c>
      <c r="B95" s="19">
        <f>300*4*365</f>
        <v>438000</v>
      </c>
      <c r="C95" s="23"/>
      <c r="D95" s="11"/>
      <c r="E95" s="11"/>
    </row>
    <row r="96" spans="1:5" x14ac:dyDescent="0.25">
      <c r="A96" s="10" t="s">
        <v>43</v>
      </c>
      <c r="B96" s="19">
        <f>(150*2.5)*365</f>
        <v>136875</v>
      </c>
      <c r="C96" s="23"/>
      <c r="D96" s="11"/>
      <c r="E96" s="11"/>
    </row>
    <row r="97" spans="1:5" x14ac:dyDescent="0.25">
      <c r="A97" s="10" t="s">
        <v>44</v>
      </c>
      <c r="B97" s="19">
        <f>(300*0.1)*16.5*365</f>
        <v>180675</v>
      </c>
      <c r="C97" s="23">
        <f>SUM(B94:B97)</f>
        <v>1084050</v>
      </c>
      <c r="D97" s="11"/>
      <c r="E97" s="11"/>
    </row>
    <row r="98" spans="1:5" x14ac:dyDescent="0.25">
      <c r="A98" s="10"/>
      <c r="B98" s="19"/>
      <c r="C98" s="23"/>
      <c r="D98" s="11"/>
      <c r="E98" s="11"/>
    </row>
    <row r="99" spans="1:5" x14ac:dyDescent="0.25">
      <c r="A99" s="18" t="s">
        <v>47</v>
      </c>
      <c r="B99" s="19"/>
      <c r="C99" s="23"/>
      <c r="D99" s="11"/>
      <c r="E99" s="11"/>
    </row>
    <row r="100" spans="1:5" ht="18" x14ac:dyDescent="0.4">
      <c r="A100" s="18" t="s">
        <v>62</v>
      </c>
      <c r="B100" s="19">
        <f>60/100*C97</f>
        <v>650430</v>
      </c>
      <c r="C100" s="47">
        <f>+B100</f>
        <v>650430</v>
      </c>
      <c r="D100" s="11"/>
      <c r="E100" s="48"/>
    </row>
    <row r="101" spans="1:5" x14ac:dyDescent="0.25">
      <c r="A101" s="20" t="s">
        <v>48</v>
      </c>
      <c r="B101" s="34"/>
      <c r="C101" s="35">
        <f>C97-C100</f>
        <v>433620</v>
      </c>
      <c r="D101" s="8"/>
      <c r="E101" s="8"/>
    </row>
    <row r="102" spans="1:5" x14ac:dyDescent="0.25">
      <c r="A102" s="18" t="s">
        <v>50</v>
      </c>
      <c r="B102" s="19"/>
      <c r="C102" s="23"/>
      <c r="D102" s="11"/>
      <c r="E102" s="11"/>
    </row>
    <row r="103" spans="1:5" x14ac:dyDescent="0.25">
      <c r="A103" s="20" t="s">
        <v>51</v>
      </c>
      <c r="B103" s="19"/>
      <c r="C103" s="23"/>
      <c r="D103" s="11"/>
      <c r="E103" s="11"/>
    </row>
    <row r="104" spans="1:5" x14ac:dyDescent="0.25">
      <c r="A104" s="18" t="s">
        <v>52</v>
      </c>
      <c r="B104" s="23"/>
      <c r="C104" s="23"/>
      <c r="D104" s="11"/>
      <c r="E104" s="11"/>
    </row>
    <row r="105" spans="1:5" x14ac:dyDescent="0.25">
      <c r="A105" s="18" t="s">
        <v>53</v>
      </c>
      <c r="B105" s="23">
        <v>10000</v>
      </c>
      <c r="C105" s="23"/>
      <c r="D105" s="11"/>
      <c r="E105" s="11"/>
    </row>
    <row r="106" spans="1:5" x14ac:dyDescent="0.25">
      <c r="A106" s="20" t="s">
        <v>54</v>
      </c>
      <c r="B106" s="23"/>
      <c r="C106" s="23"/>
      <c r="D106" s="11"/>
      <c r="E106" s="11"/>
    </row>
    <row r="107" spans="1:5" x14ac:dyDescent="0.25">
      <c r="A107" s="10" t="s">
        <v>55</v>
      </c>
      <c r="B107" s="23">
        <v>10000</v>
      </c>
      <c r="C107" s="23"/>
      <c r="D107" s="11"/>
      <c r="E107" s="11"/>
    </row>
    <row r="108" spans="1:5" x14ac:dyDescent="0.25">
      <c r="A108" s="18" t="s">
        <v>56</v>
      </c>
      <c r="B108" s="23">
        <v>17500</v>
      </c>
      <c r="C108" s="23"/>
      <c r="D108" s="11"/>
      <c r="E108" s="11"/>
    </row>
    <row r="109" spans="1:5" x14ac:dyDescent="0.25">
      <c r="A109" s="20" t="s">
        <v>59</v>
      </c>
      <c r="B109" s="23"/>
      <c r="C109" s="23"/>
      <c r="D109" s="11"/>
      <c r="E109" s="11"/>
    </row>
    <row r="110" spans="1:5" x14ac:dyDescent="0.25">
      <c r="A110" s="10" t="s">
        <v>57</v>
      </c>
      <c r="B110" s="23">
        <f>+D49</f>
        <v>125798.39999999999</v>
      </c>
      <c r="C110" s="23"/>
      <c r="D110" s="11"/>
      <c r="E110" s="11"/>
    </row>
    <row r="111" spans="1:5" x14ac:dyDescent="0.25">
      <c r="A111" s="10" t="s">
        <v>28</v>
      </c>
      <c r="B111" s="23">
        <v>35000</v>
      </c>
      <c r="C111" s="23"/>
      <c r="D111" s="11"/>
      <c r="E111" s="11"/>
    </row>
    <row r="112" spans="1:5" x14ac:dyDescent="0.25">
      <c r="A112" s="10" t="s">
        <v>31</v>
      </c>
      <c r="B112" s="23">
        <v>10000</v>
      </c>
      <c r="C112" s="23"/>
      <c r="D112" s="11"/>
      <c r="E112" s="11"/>
    </row>
    <row r="113" spans="1:5" x14ac:dyDescent="0.25">
      <c r="A113" s="10" t="s">
        <v>29</v>
      </c>
      <c r="B113" s="23">
        <f>15*1571</f>
        <v>23565</v>
      </c>
      <c r="C113" s="23"/>
      <c r="D113" s="11"/>
      <c r="E113" s="11"/>
    </row>
    <row r="114" spans="1:5" x14ac:dyDescent="0.25">
      <c r="A114" s="10" t="s">
        <v>30</v>
      </c>
      <c r="B114" s="23">
        <f>250*12</f>
        <v>3000</v>
      </c>
      <c r="C114" s="23"/>
      <c r="D114" s="11"/>
      <c r="E114" s="11"/>
    </row>
    <row r="115" spans="1:5" x14ac:dyDescent="0.25">
      <c r="A115" s="10" t="s">
        <v>49</v>
      </c>
      <c r="B115" s="23">
        <f>300*12</f>
        <v>3600</v>
      </c>
      <c r="C115" s="23"/>
      <c r="D115" s="11"/>
      <c r="E115" s="11"/>
    </row>
    <row r="116" spans="1:5" x14ac:dyDescent="0.25">
      <c r="A116" s="10" t="s">
        <v>58</v>
      </c>
      <c r="B116" s="23">
        <f>350*12</f>
        <v>4200</v>
      </c>
      <c r="C116" s="23"/>
      <c r="D116" s="11"/>
      <c r="E116" s="11"/>
    </row>
    <row r="117" spans="1:5" ht="20.25" x14ac:dyDescent="0.55000000000000004">
      <c r="A117" s="22" t="s">
        <v>61</v>
      </c>
      <c r="B117" s="23">
        <f>144250/10</f>
        <v>14425</v>
      </c>
      <c r="C117" s="49">
        <f>SUM(B104:B117)</f>
        <v>257088.4</v>
      </c>
      <c r="D117" s="11"/>
      <c r="E117" s="50"/>
    </row>
    <row r="118" spans="1:5" ht="18" x14ac:dyDescent="0.4">
      <c r="A118" s="20" t="s">
        <v>60</v>
      </c>
      <c r="B118" s="23"/>
      <c r="C118" s="51">
        <f>C101-C117</f>
        <v>176531.6</v>
      </c>
      <c r="D118" s="11"/>
      <c r="E118" s="52"/>
    </row>
    <row r="119" spans="1:5" ht="16.5" thickBot="1" x14ac:dyDescent="0.3">
      <c r="A119" s="21"/>
      <c r="B119" s="40"/>
      <c r="C119" s="41"/>
      <c r="D119" s="11"/>
      <c r="E119" s="11"/>
    </row>
    <row r="122" spans="1:5" ht="31.5" x14ac:dyDescent="0.25">
      <c r="A122" s="42" t="s">
        <v>64</v>
      </c>
      <c r="B122" s="6">
        <f>(C118/250000)*100</f>
        <v>70.612639999999999</v>
      </c>
    </row>
    <row r="124" spans="1:5" ht="16.5" thickBot="1" x14ac:dyDescent="0.3">
      <c r="A124" s="45" t="s">
        <v>76</v>
      </c>
    </row>
    <row r="125" spans="1:5" x14ac:dyDescent="0.25">
      <c r="A125" s="78" t="s">
        <v>25</v>
      </c>
      <c r="B125" s="79"/>
      <c r="C125" s="80"/>
      <c r="D125" s="11"/>
      <c r="E125" s="11"/>
    </row>
    <row r="126" spans="1:5" ht="16.5" thickBot="1" x14ac:dyDescent="0.3">
      <c r="A126" s="81" t="s">
        <v>38</v>
      </c>
      <c r="B126" s="82"/>
      <c r="C126" s="83"/>
      <c r="D126" s="24"/>
      <c r="E126" s="24"/>
    </row>
    <row r="127" spans="1:5" ht="16.5" thickBot="1" x14ac:dyDescent="0.3">
      <c r="A127" s="26" t="s">
        <v>39</v>
      </c>
      <c r="B127" s="27" t="s">
        <v>75</v>
      </c>
      <c r="C127" s="28"/>
      <c r="D127" s="46"/>
      <c r="E127" s="46"/>
    </row>
    <row r="128" spans="1:5" x14ac:dyDescent="0.25">
      <c r="A128" s="10" t="s">
        <v>40</v>
      </c>
      <c r="B128" s="19"/>
      <c r="C128" s="23"/>
      <c r="D128" s="11"/>
      <c r="E128" s="11"/>
    </row>
    <row r="129" spans="1:5" x14ac:dyDescent="0.25">
      <c r="A129" s="10" t="s">
        <v>41</v>
      </c>
      <c r="B129" s="19">
        <f>200*3*365</f>
        <v>219000</v>
      </c>
      <c r="C129" s="23"/>
      <c r="D129" s="11"/>
      <c r="E129" s="11"/>
    </row>
    <row r="130" spans="1:5" x14ac:dyDescent="0.25">
      <c r="A130" s="10" t="s">
        <v>42</v>
      </c>
      <c r="B130" s="19">
        <f>200*4*365</f>
        <v>292000</v>
      </c>
      <c r="C130" s="23"/>
      <c r="D130" s="11"/>
      <c r="E130" s="11"/>
    </row>
    <row r="131" spans="1:5" x14ac:dyDescent="0.25">
      <c r="A131" s="10" t="s">
        <v>43</v>
      </c>
      <c r="B131" s="19">
        <f>(100*2.5)*365</f>
        <v>91250</v>
      </c>
      <c r="C131" s="23"/>
      <c r="D131" s="11"/>
      <c r="E131" s="11"/>
    </row>
    <row r="132" spans="1:5" x14ac:dyDescent="0.25">
      <c r="A132" s="10" t="s">
        <v>44</v>
      </c>
      <c r="B132" s="19">
        <f>(200*0.1)*16.5*365</f>
        <v>120450</v>
      </c>
      <c r="C132" s="23">
        <f>SUM(B129:B132)</f>
        <v>722700</v>
      </c>
      <c r="D132" s="11"/>
      <c r="E132" s="11"/>
    </row>
    <row r="133" spans="1:5" x14ac:dyDescent="0.25">
      <c r="A133" s="10"/>
      <c r="B133" s="19"/>
      <c r="C133" s="23"/>
      <c r="D133" s="11"/>
      <c r="E133" s="11"/>
    </row>
    <row r="134" spans="1:5" x14ac:dyDescent="0.25">
      <c r="A134" s="18" t="s">
        <v>47</v>
      </c>
      <c r="B134" s="19"/>
      <c r="C134" s="23"/>
      <c r="D134" s="11"/>
      <c r="E134" s="11"/>
    </row>
    <row r="135" spans="1:5" ht="18" x14ac:dyDescent="0.4">
      <c r="A135" s="18" t="s">
        <v>62</v>
      </c>
      <c r="B135" s="19">
        <f>60/100*C132</f>
        <v>433620</v>
      </c>
      <c r="C135" s="47">
        <f>+B135</f>
        <v>433620</v>
      </c>
      <c r="D135" s="11"/>
      <c r="E135" s="11"/>
    </row>
    <row r="136" spans="1:5" ht="18" x14ac:dyDescent="0.4">
      <c r="A136" s="20" t="s">
        <v>48</v>
      </c>
      <c r="B136" s="34"/>
      <c r="C136" s="35">
        <f>C132-C135</f>
        <v>289080</v>
      </c>
      <c r="D136" s="11"/>
      <c r="E136" s="48"/>
    </row>
    <row r="137" spans="1:5" x14ac:dyDescent="0.25">
      <c r="A137" s="18" t="s">
        <v>50</v>
      </c>
      <c r="B137" s="19"/>
      <c r="C137" s="23"/>
      <c r="D137" s="8"/>
      <c r="E137" s="8"/>
    </row>
    <row r="138" spans="1:5" x14ac:dyDescent="0.25">
      <c r="A138" s="20" t="s">
        <v>51</v>
      </c>
      <c r="B138" s="19"/>
      <c r="C138" s="23"/>
      <c r="D138" s="11"/>
      <c r="E138" s="11"/>
    </row>
    <row r="139" spans="1:5" x14ac:dyDescent="0.25">
      <c r="A139" s="18" t="s">
        <v>52</v>
      </c>
      <c r="B139" s="23"/>
      <c r="C139" s="23"/>
      <c r="D139" s="11"/>
      <c r="E139" s="11"/>
    </row>
    <row r="140" spans="1:5" x14ac:dyDescent="0.25">
      <c r="A140" s="18" t="s">
        <v>53</v>
      </c>
      <c r="B140" s="23">
        <v>10000</v>
      </c>
      <c r="C140" s="23"/>
      <c r="D140" s="11"/>
      <c r="E140" s="11"/>
    </row>
    <row r="141" spans="1:5" x14ac:dyDescent="0.25">
      <c r="A141" s="20" t="s">
        <v>54</v>
      </c>
      <c r="B141" s="23"/>
      <c r="C141" s="23"/>
      <c r="D141" s="11"/>
      <c r="E141" s="11"/>
    </row>
    <row r="142" spans="1:5" x14ac:dyDescent="0.25">
      <c r="A142" s="10" t="s">
        <v>55</v>
      </c>
      <c r="B142" s="23">
        <v>10000</v>
      </c>
      <c r="C142" s="23"/>
      <c r="D142" s="11"/>
      <c r="E142" s="11"/>
    </row>
    <row r="143" spans="1:5" x14ac:dyDescent="0.25">
      <c r="A143" s="18" t="s">
        <v>56</v>
      </c>
      <c r="B143" s="23">
        <v>35000</v>
      </c>
      <c r="C143" s="23"/>
      <c r="D143" s="11"/>
      <c r="E143" s="11"/>
    </row>
    <row r="144" spans="1:5" x14ac:dyDescent="0.25">
      <c r="A144" s="20" t="s">
        <v>59</v>
      </c>
      <c r="B144" s="23"/>
      <c r="C144" s="23"/>
      <c r="D144" s="11"/>
      <c r="E144" s="11"/>
    </row>
    <row r="145" spans="1:13" x14ac:dyDescent="0.25">
      <c r="A145" s="10" t="s">
        <v>57</v>
      </c>
      <c r="B145" s="23">
        <f>+D49</f>
        <v>125798.39999999999</v>
      </c>
      <c r="C145" s="23"/>
      <c r="D145" s="11"/>
      <c r="E145" s="11"/>
    </row>
    <row r="146" spans="1:13" x14ac:dyDescent="0.25">
      <c r="A146" s="10" t="s">
        <v>28</v>
      </c>
      <c r="B146" s="23">
        <v>17500</v>
      </c>
      <c r="C146" s="23"/>
      <c r="D146" s="11"/>
      <c r="E146" s="11"/>
    </row>
    <row r="147" spans="1:13" x14ac:dyDescent="0.25">
      <c r="A147" s="10" t="s">
        <v>31</v>
      </c>
      <c r="B147" s="23">
        <v>10000</v>
      </c>
      <c r="C147" s="23"/>
      <c r="D147" s="11"/>
      <c r="E147" s="11"/>
    </row>
    <row r="148" spans="1:13" x14ac:dyDescent="0.25">
      <c r="A148" s="10" t="s">
        <v>29</v>
      </c>
      <c r="B148" s="23">
        <f>15*1571</f>
        <v>23565</v>
      </c>
      <c r="C148" s="23"/>
      <c r="D148" s="11"/>
      <c r="E148" s="11"/>
    </row>
    <row r="149" spans="1:13" x14ac:dyDescent="0.25">
      <c r="A149" s="10" t="s">
        <v>30</v>
      </c>
      <c r="B149" s="23">
        <f>250*12</f>
        <v>3000</v>
      </c>
      <c r="C149" s="23"/>
      <c r="D149" s="11"/>
      <c r="E149" s="11"/>
    </row>
    <row r="150" spans="1:13" x14ac:dyDescent="0.25">
      <c r="A150" s="10" t="s">
        <v>49</v>
      </c>
      <c r="B150" s="23">
        <f>300*12</f>
        <v>3600</v>
      </c>
      <c r="C150" s="23"/>
      <c r="D150" s="11"/>
      <c r="E150" s="11"/>
    </row>
    <row r="151" spans="1:13" x14ac:dyDescent="0.25">
      <c r="A151" s="10" t="s">
        <v>58</v>
      </c>
      <c r="B151" s="23">
        <f>350*12</f>
        <v>4200</v>
      </c>
      <c r="C151" s="23"/>
      <c r="D151" s="11"/>
      <c r="E151" s="11"/>
    </row>
    <row r="152" spans="1:13" ht="20.25" x14ac:dyDescent="0.55000000000000004">
      <c r="A152" s="22" t="s">
        <v>61</v>
      </c>
      <c r="B152" s="23">
        <f>144250/10</f>
        <v>14425</v>
      </c>
      <c r="C152" s="49">
        <f>SUM(B139:B152)</f>
        <v>257088.4</v>
      </c>
      <c r="D152" s="11"/>
      <c r="E152" s="11"/>
    </row>
    <row r="153" spans="1:13" ht="20.25" x14ac:dyDescent="0.55000000000000004">
      <c r="A153" s="20" t="s">
        <v>60</v>
      </c>
      <c r="B153" s="23"/>
      <c r="C153" s="51">
        <f>C136-C152</f>
        <v>31991.600000000006</v>
      </c>
      <c r="D153" s="11"/>
      <c r="E153" s="50"/>
    </row>
    <row r="154" spans="1:13" ht="18.75" thickBot="1" x14ac:dyDescent="0.45">
      <c r="A154" s="21"/>
      <c r="B154" s="40"/>
      <c r="C154" s="41"/>
      <c r="D154" s="11"/>
      <c r="E154" s="52"/>
    </row>
    <row r="155" spans="1:13" x14ac:dyDescent="0.25">
      <c r="A155" s="17"/>
      <c r="B155" s="11"/>
      <c r="C155" s="11"/>
      <c r="D155" s="11"/>
      <c r="E155" s="11"/>
    </row>
    <row r="156" spans="1:13" ht="31.5" x14ac:dyDescent="0.25">
      <c r="A156" s="42" t="s">
        <v>64</v>
      </c>
      <c r="B156" s="6">
        <f>(C153/250000)*100</f>
        <v>12.796640000000004</v>
      </c>
    </row>
    <row r="159" spans="1:13" ht="16.5" thickBot="1" x14ac:dyDescent="0.3">
      <c r="A159" s="45" t="s">
        <v>78</v>
      </c>
    </row>
    <row r="160" spans="1:13" ht="16.5" thickBot="1" x14ac:dyDescent="0.3">
      <c r="A160" s="75" t="s">
        <v>25</v>
      </c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7"/>
    </row>
    <row r="161" spans="1:13" ht="16.5" thickBot="1" x14ac:dyDescent="0.3">
      <c r="A161" s="72" t="s">
        <v>79</v>
      </c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4"/>
    </row>
    <row r="162" spans="1:13" ht="16.5" thickBot="1" x14ac:dyDescent="0.3">
      <c r="A162" s="67" t="s">
        <v>80</v>
      </c>
      <c r="B162" s="29" t="s">
        <v>81</v>
      </c>
      <c r="C162" s="29" t="s">
        <v>82</v>
      </c>
      <c r="D162" s="29" t="s">
        <v>83</v>
      </c>
      <c r="E162" s="29" t="s">
        <v>84</v>
      </c>
      <c r="F162" s="29" t="s">
        <v>85</v>
      </c>
      <c r="G162" s="29" t="s">
        <v>86</v>
      </c>
      <c r="H162" s="29" t="s">
        <v>87</v>
      </c>
      <c r="I162" s="29" t="s">
        <v>88</v>
      </c>
      <c r="J162" s="29" t="s">
        <v>89</v>
      </c>
      <c r="K162" s="29" t="s">
        <v>90</v>
      </c>
      <c r="L162" s="29" t="s">
        <v>95</v>
      </c>
      <c r="M162" s="68" t="s">
        <v>96</v>
      </c>
    </row>
    <row r="163" spans="1:13" x14ac:dyDescent="0.25">
      <c r="A163" s="60" t="s">
        <v>99</v>
      </c>
      <c r="B163" s="11"/>
      <c r="C163" s="11">
        <f t="shared" ref="C163:M163" si="1">+B186</f>
        <v>176053.88333333333</v>
      </c>
      <c r="D163" s="11">
        <f t="shared" si="1"/>
        <v>224784.66060606061</v>
      </c>
      <c r="E163" s="11">
        <f t="shared" si="1"/>
        <v>275802.93787878793</v>
      </c>
      <c r="F163" s="11">
        <f t="shared" si="1"/>
        <v>326821.21515151521</v>
      </c>
      <c r="G163" s="11">
        <f t="shared" si="1"/>
        <v>375551.99242424249</v>
      </c>
      <c r="H163" s="11">
        <f t="shared" si="1"/>
        <v>426570.26969696977</v>
      </c>
      <c r="I163" s="11">
        <f t="shared" si="1"/>
        <v>477588.54696969705</v>
      </c>
      <c r="J163" s="11">
        <f t="shared" si="1"/>
        <v>521744.32424242439</v>
      </c>
      <c r="K163" s="11">
        <f t="shared" si="1"/>
        <v>1192747.1015151518</v>
      </c>
      <c r="L163" s="11">
        <f t="shared" si="1"/>
        <v>1241477.8787878791</v>
      </c>
      <c r="M163" s="12">
        <f t="shared" si="1"/>
        <v>1292496.1560606065</v>
      </c>
    </row>
    <row r="164" spans="1:13" x14ac:dyDescent="0.25">
      <c r="A164" s="60" t="s">
        <v>91</v>
      </c>
      <c r="B164" s="11">
        <f>2287.5*31</f>
        <v>70912.5</v>
      </c>
      <c r="C164" s="11">
        <f>2287.5*30</f>
        <v>68625</v>
      </c>
      <c r="D164" s="11">
        <f>2287.5*31</f>
        <v>70912.5</v>
      </c>
      <c r="E164" s="11">
        <f>2287.5*31</f>
        <v>70912.5</v>
      </c>
      <c r="F164" s="11">
        <f>2287.5*30</f>
        <v>68625</v>
      </c>
      <c r="G164" s="11">
        <f>2287.5*31</f>
        <v>70912.5</v>
      </c>
      <c r="H164" s="11">
        <f>2287.5*31</f>
        <v>70912.5</v>
      </c>
      <c r="I164" s="11">
        <f>2287.5*28</f>
        <v>64050</v>
      </c>
      <c r="J164" s="11">
        <f>22287*31</f>
        <v>690897</v>
      </c>
      <c r="K164" s="11">
        <f>2287.5*30</f>
        <v>68625</v>
      </c>
      <c r="L164" s="11">
        <f>2287.5*31</f>
        <v>70912.5</v>
      </c>
      <c r="M164" s="12">
        <f>2287.5*30</f>
        <v>68625</v>
      </c>
    </row>
    <row r="165" spans="1:13" x14ac:dyDescent="0.25">
      <c r="A165" s="60" t="s">
        <v>101</v>
      </c>
      <c r="B165" s="11">
        <v>250000</v>
      </c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2"/>
    </row>
    <row r="166" spans="1:13" x14ac:dyDescent="0.25">
      <c r="A166" s="61" t="s">
        <v>102</v>
      </c>
      <c r="B166" s="11">
        <f>B165+B164</f>
        <v>320912.5</v>
      </c>
      <c r="C166" s="11">
        <f>C163+C164</f>
        <v>244678.88333333333</v>
      </c>
      <c r="D166" s="11">
        <f t="shared" ref="D166:M166" si="2">D163+D164</f>
        <v>295697.16060606064</v>
      </c>
      <c r="E166" s="11">
        <f t="shared" si="2"/>
        <v>346715.43787878793</v>
      </c>
      <c r="F166" s="11">
        <f t="shared" si="2"/>
        <v>395446.21515151521</v>
      </c>
      <c r="G166" s="11">
        <f t="shared" si="2"/>
        <v>446464.49242424249</v>
      </c>
      <c r="H166" s="11">
        <f t="shared" si="2"/>
        <v>497482.76969696977</v>
      </c>
      <c r="I166" s="11">
        <f t="shared" si="2"/>
        <v>541638.54696969711</v>
      </c>
      <c r="J166" s="11">
        <f t="shared" si="2"/>
        <v>1212641.3242424245</v>
      </c>
      <c r="K166" s="11">
        <f t="shared" si="2"/>
        <v>1261372.1015151518</v>
      </c>
      <c r="L166" s="11">
        <f t="shared" si="2"/>
        <v>1312390.3787878791</v>
      </c>
      <c r="M166" s="12">
        <f t="shared" si="2"/>
        <v>1361121.1560606065</v>
      </c>
    </row>
    <row r="167" spans="1:13" x14ac:dyDescent="0.25">
      <c r="A167" s="62" t="s">
        <v>92</v>
      </c>
      <c r="B167" s="11"/>
      <c r="C167" s="11"/>
      <c r="D167" s="11"/>
      <c r="E167" s="11"/>
      <c r="F167" s="16"/>
      <c r="G167" s="16"/>
      <c r="H167" s="16"/>
      <c r="I167" s="16"/>
      <c r="J167" s="16"/>
      <c r="K167" s="16"/>
      <c r="L167" s="16"/>
      <c r="M167" s="57"/>
    </row>
    <row r="168" spans="1:13" x14ac:dyDescent="0.25">
      <c r="A168" s="60" t="s">
        <v>107</v>
      </c>
      <c r="B168" s="11">
        <v>44250</v>
      </c>
      <c r="C168" s="11"/>
      <c r="D168" s="11"/>
      <c r="E168" s="11"/>
      <c r="F168" s="16"/>
      <c r="G168" s="16"/>
      <c r="H168" s="16"/>
      <c r="I168" s="16"/>
      <c r="J168" s="16"/>
      <c r="K168" s="16"/>
      <c r="L168" s="16"/>
      <c r="M168" s="57"/>
    </row>
    <row r="169" spans="1:13" x14ac:dyDescent="0.25">
      <c r="A169" s="63" t="s">
        <v>51</v>
      </c>
      <c r="B169" s="11"/>
      <c r="C169" s="11"/>
      <c r="D169" s="11"/>
      <c r="E169" s="11"/>
      <c r="F169" s="16"/>
      <c r="G169" s="16"/>
      <c r="H169" s="16"/>
      <c r="I169" s="16"/>
      <c r="J169" s="16"/>
      <c r="K169" s="16"/>
      <c r="L169" s="16"/>
      <c r="M169" s="57"/>
    </row>
    <row r="170" spans="1:13" x14ac:dyDescent="0.25">
      <c r="A170" s="64" t="s">
        <v>52</v>
      </c>
      <c r="B170" s="11">
        <v>10000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57"/>
    </row>
    <row r="171" spans="1:13" x14ac:dyDescent="0.25">
      <c r="A171" s="64" t="s">
        <v>53</v>
      </c>
      <c r="B171" s="11" t="s">
        <v>94</v>
      </c>
      <c r="C171" s="11">
        <v>1000</v>
      </c>
      <c r="D171" s="11">
        <v>1000</v>
      </c>
      <c r="E171" s="11">
        <v>1000</v>
      </c>
      <c r="F171" s="11">
        <v>1000</v>
      </c>
      <c r="G171" s="11">
        <v>1000</v>
      </c>
      <c r="H171" s="11">
        <v>1000</v>
      </c>
      <c r="I171" s="11">
        <v>1000</v>
      </c>
      <c r="J171" s="11">
        <v>1000</v>
      </c>
      <c r="K171" s="11">
        <v>1000</v>
      </c>
      <c r="L171" s="11">
        <v>1000</v>
      </c>
      <c r="M171" s="12">
        <v>1000</v>
      </c>
    </row>
    <row r="172" spans="1:13" x14ac:dyDescent="0.25">
      <c r="A172" s="63" t="s">
        <v>54</v>
      </c>
      <c r="B172" s="11"/>
      <c r="C172" s="11"/>
      <c r="D172" s="11"/>
      <c r="E172" s="11"/>
      <c r="F172" s="16"/>
      <c r="G172" s="16"/>
      <c r="H172" s="16"/>
      <c r="I172" s="16"/>
      <c r="J172" s="16"/>
      <c r="K172" s="16"/>
      <c r="L172" s="16"/>
      <c r="M172" s="57"/>
    </row>
    <row r="173" spans="1:13" x14ac:dyDescent="0.25">
      <c r="A173" s="60" t="s">
        <v>55</v>
      </c>
      <c r="B173" s="11">
        <v>10000</v>
      </c>
      <c r="C173" s="11"/>
      <c r="D173" s="11"/>
      <c r="E173" s="11"/>
      <c r="F173" s="16"/>
      <c r="G173" s="16"/>
      <c r="H173" s="16"/>
      <c r="I173" s="16"/>
      <c r="J173" s="16"/>
      <c r="K173" s="16"/>
      <c r="L173" s="16"/>
      <c r="M173" s="57"/>
    </row>
    <row r="174" spans="1:13" x14ac:dyDescent="0.25">
      <c r="A174" s="64" t="s">
        <v>56</v>
      </c>
      <c r="B174" s="11">
        <v>35000</v>
      </c>
      <c r="C174" s="11"/>
      <c r="D174" s="11"/>
      <c r="E174" s="11"/>
      <c r="F174" s="16"/>
      <c r="G174" s="16"/>
      <c r="H174" s="16"/>
      <c r="I174" s="16"/>
      <c r="J174" s="16"/>
      <c r="K174" s="16"/>
      <c r="L174" s="16"/>
      <c r="M174" s="57"/>
    </row>
    <row r="175" spans="1:13" x14ac:dyDescent="0.25">
      <c r="A175" s="63" t="s">
        <v>59</v>
      </c>
      <c r="B175" s="11"/>
      <c r="C175" s="11"/>
      <c r="D175" s="11"/>
      <c r="E175" s="11"/>
      <c r="F175" s="16"/>
      <c r="G175" s="16"/>
      <c r="H175" s="16"/>
      <c r="I175" s="16"/>
      <c r="J175" s="16"/>
      <c r="K175" s="16"/>
      <c r="L175" s="16"/>
      <c r="M175" s="57"/>
    </row>
    <row r="176" spans="1:13" x14ac:dyDescent="0.25">
      <c r="A176" s="60" t="s">
        <v>57</v>
      </c>
      <c r="B176" s="11">
        <f>125798.4/12</f>
        <v>10483.199999999999</v>
      </c>
      <c r="C176" s="11">
        <f t="shared" ref="C176:M176" si="3">125798.4/12</f>
        <v>10483.199999999999</v>
      </c>
      <c r="D176" s="11">
        <f t="shared" si="3"/>
        <v>10483.199999999999</v>
      </c>
      <c r="E176" s="11">
        <f t="shared" si="3"/>
        <v>10483.199999999999</v>
      </c>
      <c r="F176" s="11">
        <f t="shared" si="3"/>
        <v>10483.199999999999</v>
      </c>
      <c r="G176" s="11">
        <f t="shared" si="3"/>
        <v>10483.199999999999</v>
      </c>
      <c r="H176" s="11">
        <f t="shared" si="3"/>
        <v>10483.199999999999</v>
      </c>
      <c r="I176" s="11">
        <f t="shared" si="3"/>
        <v>10483.199999999999</v>
      </c>
      <c r="J176" s="11">
        <f t="shared" si="3"/>
        <v>10483.199999999999</v>
      </c>
      <c r="K176" s="11">
        <f t="shared" si="3"/>
        <v>10483.199999999999</v>
      </c>
      <c r="L176" s="11">
        <f t="shared" si="3"/>
        <v>10483.199999999999</v>
      </c>
      <c r="M176" s="11">
        <f t="shared" si="3"/>
        <v>10483.199999999999</v>
      </c>
    </row>
    <row r="177" spans="1:13" x14ac:dyDescent="0.25">
      <c r="A177" s="60" t="s">
        <v>28</v>
      </c>
      <c r="B177" s="11">
        <f>17500/12</f>
        <v>1458.3333333333333</v>
      </c>
      <c r="C177" s="11">
        <f t="shared" ref="C177:M177" si="4">17500/12</f>
        <v>1458.3333333333333</v>
      </c>
      <c r="D177" s="11">
        <f t="shared" si="4"/>
        <v>1458.3333333333333</v>
      </c>
      <c r="E177" s="11">
        <f t="shared" si="4"/>
        <v>1458.3333333333333</v>
      </c>
      <c r="F177" s="11">
        <f t="shared" si="4"/>
        <v>1458.3333333333333</v>
      </c>
      <c r="G177" s="11">
        <f t="shared" si="4"/>
        <v>1458.3333333333333</v>
      </c>
      <c r="H177" s="11">
        <f t="shared" si="4"/>
        <v>1458.3333333333333</v>
      </c>
      <c r="I177" s="11">
        <f t="shared" si="4"/>
        <v>1458.3333333333333</v>
      </c>
      <c r="J177" s="11">
        <f t="shared" si="4"/>
        <v>1458.3333333333333</v>
      </c>
      <c r="K177" s="11">
        <f t="shared" si="4"/>
        <v>1458.3333333333333</v>
      </c>
      <c r="L177" s="11">
        <f t="shared" si="4"/>
        <v>1458.3333333333333</v>
      </c>
      <c r="M177" s="11">
        <f t="shared" si="4"/>
        <v>1458.3333333333333</v>
      </c>
    </row>
    <row r="178" spans="1:13" x14ac:dyDescent="0.25">
      <c r="A178" s="60" t="s">
        <v>31</v>
      </c>
      <c r="B178" s="11">
        <v>10000</v>
      </c>
      <c r="C178" s="11"/>
      <c r="D178" s="11"/>
      <c r="E178" s="11"/>
      <c r="F178" s="16"/>
      <c r="G178" s="16"/>
      <c r="H178" s="16"/>
      <c r="I178" s="16"/>
      <c r="J178" s="16"/>
      <c r="K178" s="16"/>
      <c r="L178" s="16"/>
      <c r="M178" s="57"/>
    </row>
    <row r="179" spans="1:13" x14ac:dyDescent="0.25">
      <c r="A179" s="60" t="s">
        <v>93</v>
      </c>
      <c r="B179" s="11">
        <f>23565-2000</f>
        <v>21565</v>
      </c>
      <c r="C179" s="11">
        <v>2142.2727272727275</v>
      </c>
      <c r="D179" s="11">
        <v>2142.2727272727275</v>
      </c>
      <c r="E179" s="11">
        <v>2142.2727272727275</v>
      </c>
      <c r="F179" s="11">
        <v>2142.2727272727275</v>
      </c>
      <c r="G179" s="11">
        <v>2142.2727272727275</v>
      </c>
      <c r="H179" s="11">
        <v>2142.2727272727275</v>
      </c>
      <c r="I179" s="11">
        <v>2142.2727272727275</v>
      </c>
      <c r="J179" s="11">
        <v>2142.2727272727275</v>
      </c>
      <c r="K179" s="11">
        <v>2142.2727272727275</v>
      </c>
      <c r="L179" s="11">
        <v>2142.2727272727275</v>
      </c>
      <c r="M179" s="12">
        <v>2142.2727272727275</v>
      </c>
    </row>
    <row r="180" spans="1:13" x14ac:dyDescent="0.25">
      <c r="A180" s="60" t="s">
        <v>30</v>
      </c>
      <c r="B180" s="11">
        <f>250</f>
        <v>250</v>
      </c>
      <c r="C180" s="11">
        <f>250</f>
        <v>250</v>
      </c>
      <c r="D180" s="11">
        <f>250</f>
        <v>250</v>
      </c>
      <c r="E180" s="11">
        <f>250</f>
        <v>250</v>
      </c>
      <c r="F180" s="11">
        <f>250</f>
        <v>250</v>
      </c>
      <c r="G180" s="11">
        <f>250</f>
        <v>250</v>
      </c>
      <c r="H180" s="11">
        <f>250</f>
        <v>250</v>
      </c>
      <c r="I180" s="11">
        <f>250</f>
        <v>250</v>
      </c>
      <c r="J180" s="11">
        <f>250</f>
        <v>250</v>
      </c>
      <c r="K180" s="11">
        <f>250</f>
        <v>250</v>
      </c>
      <c r="L180" s="11">
        <f>250</f>
        <v>250</v>
      </c>
      <c r="M180" s="12">
        <f>250</f>
        <v>250</v>
      </c>
    </row>
    <row r="181" spans="1:13" x14ac:dyDescent="0.25">
      <c r="A181" s="60" t="s">
        <v>49</v>
      </c>
      <c r="B181" s="11">
        <f>300</f>
        <v>300</v>
      </c>
      <c r="C181" s="11">
        <f>300</f>
        <v>300</v>
      </c>
      <c r="D181" s="11">
        <f>300</f>
        <v>300</v>
      </c>
      <c r="E181" s="11">
        <f>300</f>
        <v>300</v>
      </c>
      <c r="F181" s="11">
        <f>300</f>
        <v>300</v>
      </c>
      <c r="G181" s="11">
        <f>300</f>
        <v>300</v>
      </c>
      <c r="H181" s="11">
        <f>300</f>
        <v>300</v>
      </c>
      <c r="I181" s="11">
        <f>300</f>
        <v>300</v>
      </c>
      <c r="J181" s="11">
        <f>300</f>
        <v>300</v>
      </c>
      <c r="K181" s="11">
        <f>300</f>
        <v>300</v>
      </c>
      <c r="L181" s="11">
        <f>300</f>
        <v>300</v>
      </c>
      <c r="M181" s="12">
        <f>300</f>
        <v>300</v>
      </c>
    </row>
    <row r="182" spans="1:13" x14ac:dyDescent="0.25">
      <c r="A182" s="60" t="s">
        <v>58</v>
      </c>
      <c r="B182" s="11">
        <f>350</f>
        <v>350</v>
      </c>
      <c r="C182" s="11">
        <f>350</f>
        <v>350</v>
      </c>
      <c r="D182" s="11">
        <f>350</f>
        <v>350</v>
      </c>
      <c r="E182" s="11">
        <f>350</f>
        <v>350</v>
      </c>
      <c r="F182" s="11">
        <f>350</f>
        <v>350</v>
      </c>
      <c r="G182" s="11">
        <f>350</f>
        <v>350</v>
      </c>
      <c r="H182" s="11">
        <f>350</f>
        <v>350</v>
      </c>
      <c r="I182" s="11">
        <f>350</f>
        <v>350</v>
      </c>
      <c r="J182" s="11">
        <f>350</f>
        <v>350</v>
      </c>
      <c r="K182" s="11">
        <f>350</f>
        <v>350</v>
      </c>
      <c r="L182" s="11">
        <f>350</f>
        <v>350</v>
      </c>
      <c r="M182" s="12">
        <f>350</f>
        <v>350</v>
      </c>
    </row>
    <row r="183" spans="1:13" x14ac:dyDescent="0.25">
      <c r="A183" s="60" t="s">
        <v>103</v>
      </c>
      <c r="B183" s="11"/>
      <c r="C183" s="11">
        <f>13*250000/1200</f>
        <v>2708.3333333333335</v>
      </c>
      <c r="D183" s="11">
        <f t="shared" ref="D183:M183" si="5">13*250000/1200</f>
        <v>2708.3333333333335</v>
      </c>
      <c r="E183" s="11">
        <f t="shared" si="5"/>
        <v>2708.3333333333335</v>
      </c>
      <c r="F183" s="11">
        <f t="shared" si="5"/>
        <v>2708.3333333333335</v>
      </c>
      <c r="G183" s="11">
        <f t="shared" si="5"/>
        <v>2708.3333333333335</v>
      </c>
      <c r="H183" s="11">
        <f t="shared" si="5"/>
        <v>2708.3333333333335</v>
      </c>
      <c r="I183" s="11">
        <f t="shared" si="5"/>
        <v>2708.3333333333335</v>
      </c>
      <c r="J183" s="11">
        <f t="shared" si="5"/>
        <v>2708.3333333333335</v>
      </c>
      <c r="K183" s="11">
        <f t="shared" si="5"/>
        <v>2708.3333333333335</v>
      </c>
      <c r="L183" s="11">
        <f t="shared" si="5"/>
        <v>2708.3333333333335</v>
      </c>
      <c r="M183" s="12">
        <f t="shared" si="5"/>
        <v>2708.3333333333335</v>
      </c>
    </row>
    <row r="184" spans="1:13" x14ac:dyDescent="0.25">
      <c r="A184" s="65" t="s">
        <v>61</v>
      </c>
      <c r="B184" s="11">
        <f>(144250/10)/12</f>
        <v>1202.0833333333333</v>
      </c>
      <c r="C184" s="11">
        <f t="shared" ref="C184:M184" si="6">(144250/10)/12</f>
        <v>1202.0833333333333</v>
      </c>
      <c r="D184" s="11">
        <f t="shared" si="6"/>
        <v>1202.0833333333333</v>
      </c>
      <c r="E184" s="11">
        <f t="shared" si="6"/>
        <v>1202.0833333333333</v>
      </c>
      <c r="F184" s="11">
        <f t="shared" si="6"/>
        <v>1202.0833333333333</v>
      </c>
      <c r="G184" s="11">
        <f t="shared" si="6"/>
        <v>1202.0833333333333</v>
      </c>
      <c r="H184" s="11">
        <f t="shared" si="6"/>
        <v>1202.0833333333333</v>
      </c>
      <c r="I184" s="11">
        <f t="shared" si="6"/>
        <v>1202.0833333333333</v>
      </c>
      <c r="J184" s="11">
        <f t="shared" si="6"/>
        <v>1202.0833333333333</v>
      </c>
      <c r="K184" s="11">
        <f t="shared" si="6"/>
        <v>1202.0833333333333</v>
      </c>
      <c r="L184" s="11">
        <f t="shared" si="6"/>
        <v>1202.0833333333333</v>
      </c>
      <c r="M184" s="12">
        <f t="shared" si="6"/>
        <v>1202.0833333333333</v>
      </c>
    </row>
    <row r="185" spans="1:13" ht="20.25" x14ac:dyDescent="0.55000000000000004">
      <c r="A185" s="60" t="s">
        <v>97</v>
      </c>
      <c r="B185" s="50">
        <f>SUM(B168:B184)</f>
        <v>144858.61666666667</v>
      </c>
      <c r="C185" s="50">
        <f t="shared" ref="C185:M185" si="7">SUM(C168:C184)</f>
        <v>19894.222727272725</v>
      </c>
      <c r="D185" s="50">
        <f t="shared" si="7"/>
        <v>19894.222727272725</v>
      </c>
      <c r="E185" s="50">
        <f t="shared" si="7"/>
        <v>19894.222727272725</v>
      </c>
      <c r="F185" s="50">
        <f t="shared" si="7"/>
        <v>19894.222727272725</v>
      </c>
      <c r="G185" s="50">
        <f t="shared" si="7"/>
        <v>19894.222727272725</v>
      </c>
      <c r="H185" s="50">
        <f t="shared" si="7"/>
        <v>19894.222727272725</v>
      </c>
      <c r="I185" s="50">
        <f t="shared" si="7"/>
        <v>19894.222727272725</v>
      </c>
      <c r="J185" s="50">
        <f t="shared" si="7"/>
        <v>19894.222727272725</v>
      </c>
      <c r="K185" s="50">
        <f t="shared" si="7"/>
        <v>19894.222727272725</v>
      </c>
      <c r="L185" s="50">
        <f t="shared" si="7"/>
        <v>19894.222727272725</v>
      </c>
      <c r="M185" s="37">
        <f t="shared" si="7"/>
        <v>19894.222727272725</v>
      </c>
    </row>
    <row r="186" spans="1:13" x14ac:dyDescent="0.25">
      <c r="A186" s="60" t="s">
        <v>100</v>
      </c>
      <c r="B186" s="11">
        <f>B166-B185</f>
        <v>176053.88333333333</v>
      </c>
      <c r="C186" s="11">
        <f t="shared" ref="C186:M186" si="8">C166-C185</f>
        <v>224784.66060606061</v>
      </c>
      <c r="D186" s="11">
        <f t="shared" si="8"/>
        <v>275802.93787878793</v>
      </c>
      <c r="E186" s="11">
        <f t="shared" si="8"/>
        <v>326821.21515151521</v>
      </c>
      <c r="F186" s="11">
        <f t="shared" si="8"/>
        <v>375551.99242424249</v>
      </c>
      <c r="G186" s="11">
        <f t="shared" si="8"/>
        <v>426570.26969696977</v>
      </c>
      <c r="H186" s="11">
        <f t="shared" si="8"/>
        <v>477588.54696969705</v>
      </c>
      <c r="I186" s="11">
        <f t="shared" si="8"/>
        <v>521744.32424242439</v>
      </c>
      <c r="J186" s="11">
        <f t="shared" si="8"/>
        <v>1192747.1015151518</v>
      </c>
      <c r="K186" s="11">
        <f t="shared" si="8"/>
        <v>1241477.8787878791</v>
      </c>
      <c r="L186" s="11">
        <f t="shared" si="8"/>
        <v>1292496.1560606065</v>
      </c>
      <c r="M186" s="12">
        <f t="shared" si="8"/>
        <v>1341226.9333333338</v>
      </c>
    </row>
    <row r="187" spans="1:13" ht="16.5" thickBot="1" x14ac:dyDescent="0.3">
      <c r="A187" s="66"/>
      <c r="B187" s="14"/>
      <c r="C187" s="14"/>
      <c r="D187" s="14"/>
      <c r="E187" s="14"/>
      <c r="F187" s="58"/>
      <c r="G187" s="58"/>
      <c r="H187" s="58"/>
      <c r="I187" s="58"/>
      <c r="J187" s="58"/>
      <c r="K187" s="58"/>
      <c r="L187" s="58"/>
      <c r="M187" s="59"/>
    </row>
    <row r="188" spans="1:13" ht="16.5" thickBot="1" x14ac:dyDescent="0.3">
      <c r="A188" s="45" t="s">
        <v>98</v>
      </c>
    </row>
    <row r="189" spans="1:13" ht="16.5" thickBot="1" x14ac:dyDescent="0.3">
      <c r="A189" s="72" t="s">
        <v>25</v>
      </c>
      <c r="B189" s="73"/>
      <c r="C189" s="74"/>
    </row>
    <row r="190" spans="1:13" ht="16.5" thickBot="1" x14ac:dyDescent="0.3">
      <c r="A190" s="72" t="s">
        <v>79</v>
      </c>
      <c r="B190" s="73"/>
      <c r="C190" s="74"/>
    </row>
    <row r="191" spans="1:13" x14ac:dyDescent="0.25">
      <c r="A191" s="10" t="s">
        <v>80</v>
      </c>
      <c r="B191" s="11"/>
      <c r="C191" s="12"/>
    </row>
    <row r="192" spans="1:13" x14ac:dyDescent="0.25">
      <c r="A192" s="10" t="s">
        <v>104</v>
      </c>
      <c r="B192" s="11">
        <f>+C36</f>
        <v>903375</v>
      </c>
      <c r="C192" s="12"/>
    </row>
    <row r="193" spans="1:3" ht="18" x14ac:dyDescent="0.4">
      <c r="A193" s="10" t="s">
        <v>101</v>
      </c>
      <c r="B193" s="48">
        <v>250000</v>
      </c>
      <c r="C193" s="12"/>
    </row>
    <row r="194" spans="1:3" x14ac:dyDescent="0.25">
      <c r="A194" s="10" t="s">
        <v>105</v>
      </c>
      <c r="B194" s="11"/>
      <c r="C194" s="9">
        <f>B192+B193</f>
        <v>1153375</v>
      </c>
    </row>
    <row r="195" spans="1:3" x14ac:dyDescent="0.25">
      <c r="A195" s="10" t="s">
        <v>106</v>
      </c>
      <c r="B195" s="11"/>
      <c r="C195" s="12"/>
    </row>
    <row r="196" spans="1:3" x14ac:dyDescent="0.25">
      <c r="A196" s="10" t="s">
        <v>107</v>
      </c>
      <c r="B196" s="11">
        <v>44250</v>
      </c>
      <c r="C196" s="12"/>
    </row>
    <row r="197" spans="1:3" x14ac:dyDescent="0.25">
      <c r="A197" s="20" t="s">
        <v>51</v>
      </c>
      <c r="B197" s="11"/>
      <c r="C197" s="12"/>
    </row>
    <row r="198" spans="1:3" x14ac:dyDescent="0.25">
      <c r="A198" s="18" t="s">
        <v>52</v>
      </c>
      <c r="B198" s="11">
        <v>10000</v>
      </c>
      <c r="C198" s="12"/>
    </row>
    <row r="199" spans="1:3" x14ac:dyDescent="0.25">
      <c r="A199" s="18" t="s">
        <v>53</v>
      </c>
      <c r="B199" s="11" t="s">
        <v>94</v>
      </c>
      <c r="C199" s="12"/>
    </row>
    <row r="200" spans="1:3" x14ac:dyDescent="0.25">
      <c r="A200" s="20" t="s">
        <v>54</v>
      </c>
      <c r="B200" s="11"/>
      <c r="C200" s="12"/>
    </row>
    <row r="201" spans="1:3" x14ac:dyDescent="0.25">
      <c r="A201" s="10" t="s">
        <v>55</v>
      </c>
      <c r="B201" s="11">
        <v>10000</v>
      </c>
      <c r="C201" s="12"/>
    </row>
    <row r="202" spans="1:3" x14ac:dyDescent="0.25">
      <c r="A202" s="18" t="s">
        <v>56</v>
      </c>
      <c r="B202" s="11">
        <v>35000</v>
      </c>
      <c r="C202" s="12"/>
    </row>
    <row r="203" spans="1:3" x14ac:dyDescent="0.25">
      <c r="A203" s="20" t="s">
        <v>59</v>
      </c>
      <c r="B203" s="11"/>
      <c r="C203" s="12"/>
    </row>
    <row r="204" spans="1:3" x14ac:dyDescent="0.25">
      <c r="A204" s="10" t="s">
        <v>57</v>
      </c>
      <c r="B204" s="11">
        <f>+B145</f>
        <v>125798.39999999999</v>
      </c>
      <c r="C204" s="12"/>
    </row>
    <row r="205" spans="1:3" x14ac:dyDescent="0.25">
      <c r="A205" s="10" t="s">
        <v>28</v>
      </c>
      <c r="B205" s="11">
        <f>17500</f>
        <v>17500</v>
      </c>
      <c r="C205" s="12"/>
    </row>
    <row r="206" spans="1:3" x14ac:dyDescent="0.25">
      <c r="A206" s="10" t="s">
        <v>31</v>
      </c>
      <c r="B206" s="11">
        <v>10000</v>
      </c>
      <c r="C206" s="12"/>
    </row>
    <row r="207" spans="1:3" x14ac:dyDescent="0.25">
      <c r="A207" s="10" t="s">
        <v>93</v>
      </c>
      <c r="B207" s="11">
        <f>23565-2000</f>
        <v>21565</v>
      </c>
      <c r="C207" s="12"/>
    </row>
    <row r="208" spans="1:3" x14ac:dyDescent="0.25">
      <c r="A208" s="10" t="s">
        <v>30</v>
      </c>
      <c r="B208" s="11">
        <f>250*12</f>
        <v>3000</v>
      </c>
      <c r="C208" s="12"/>
    </row>
    <row r="209" spans="1:3" x14ac:dyDescent="0.25">
      <c r="A209" s="10" t="s">
        <v>49</v>
      </c>
      <c r="B209" s="11">
        <f>300*12</f>
        <v>3600</v>
      </c>
      <c r="C209" s="12"/>
    </row>
    <row r="210" spans="1:3" x14ac:dyDescent="0.25">
      <c r="A210" s="10" t="s">
        <v>58</v>
      </c>
      <c r="B210" s="11">
        <f>350*12</f>
        <v>4200</v>
      </c>
      <c r="C210" s="12"/>
    </row>
    <row r="211" spans="1:3" x14ac:dyDescent="0.25">
      <c r="A211" s="10" t="s">
        <v>103</v>
      </c>
      <c r="B211" s="11">
        <f>13*250000*11/1200</f>
        <v>29791.666666666668</v>
      </c>
      <c r="C211" s="12"/>
    </row>
    <row r="212" spans="1:3" ht="18" x14ac:dyDescent="0.4">
      <c r="A212" s="22" t="s">
        <v>61</v>
      </c>
      <c r="B212" s="48">
        <f>(144250/10)</f>
        <v>14425</v>
      </c>
      <c r="C212" s="12"/>
    </row>
    <row r="213" spans="1:3" ht="20.25" x14ac:dyDescent="0.55000000000000004">
      <c r="A213" s="10" t="s">
        <v>97</v>
      </c>
      <c r="B213" s="11"/>
      <c r="C213" s="37">
        <f>SUM(B196:B212)</f>
        <v>329130.06666666671</v>
      </c>
    </row>
    <row r="214" spans="1:3" ht="18.75" thickBot="1" x14ac:dyDescent="0.45">
      <c r="A214" s="55" t="s">
        <v>108</v>
      </c>
      <c r="B214" s="14"/>
      <c r="C214" s="56">
        <f>C194-C213</f>
        <v>824244.93333333335</v>
      </c>
    </row>
  </sheetData>
  <mergeCells count="12">
    <mergeCell ref="A2:C2"/>
    <mergeCell ref="A22:B22"/>
    <mergeCell ref="A29:E29"/>
    <mergeCell ref="A30:E30"/>
    <mergeCell ref="A189:C189"/>
    <mergeCell ref="A190:C190"/>
    <mergeCell ref="A160:M160"/>
    <mergeCell ref="A161:M161"/>
    <mergeCell ref="A90:C90"/>
    <mergeCell ref="A91:C91"/>
    <mergeCell ref="A125:C125"/>
    <mergeCell ref="A126:C126"/>
  </mergeCells>
  <pageMargins left="0.7" right="0.7" top="0.75" bottom="0.75" header="0.3" footer="0.3"/>
  <ignoredErrors>
    <ignoredError sqref="C5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CAFÉ XARAGUA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</cp:lastModifiedBy>
  <dcterms:created xsi:type="dcterms:W3CDTF">2020-06-29T10:13:58Z</dcterms:created>
  <dcterms:modified xsi:type="dcterms:W3CDTF">2020-06-29T20:42:32Z</dcterms:modified>
</cp:coreProperties>
</file>