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hp\Desktop\"/>
    </mc:Choice>
  </mc:AlternateContent>
  <bookViews>
    <workbookView xWindow="0" yWindow="0" windowWidth="19200" windowHeight="7032" activeTab="1"/>
  </bookViews>
  <sheets>
    <sheet name="Sheet1" sheetId="1" r:id="rId1"/>
    <sheet name="Sheet2" sheetId="2"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40" i="2" l="1"/>
  <c r="D239" i="2"/>
  <c r="D232" i="2"/>
  <c r="D231" i="2"/>
  <c r="D234" i="2" s="1"/>
  <c r="D223" i="2"/>
  <c r="D222" i="2"/>
  <c r="E224" i="2" s="1"/>
  <c r="C202" i="2"/>
  <c r="C200" i="2"/>
  <c r="C198" i="2"/>
  <c r="D208" i="2"/>
  <c r="D188" i="2"/>
  <c r="D190" i="2" s="1"/>
  <c r="D177" i="2"/>
  <c r="D180" i="2" s="1"/>
  <c r="F167" i="2"/>
  <c r="G167" i="2" s="1"/>
  <c r="H167" i="2" s="1"/>
  <c r="F165" i="2"/>
  <c r="F166" i="2"/>
  <c r="G166" i="2" s="1"/>
  <c r="H166" i="2" s="1"/>
  <c r="E165" i="2"/>
  <c r="G165" i="2" s="1"/>
  <c r="H165" i="2" s="1"/>
  <c r="C161" i="2"/>
  <c r="D147" i="2"/>
  <c r="D149" i="2"/>
  <c r="G143" i="2"/>
  <c r="D145" i="2"/>
  <c r="C135" i="2"/>
  <c r="C137" i="2" s="1"/>
  <c r="C134" i="2"/>
  <c r="C131" i="2"/>
  <c r="C124" i="2"/>
  <c r="C118" i="2"/>
  <c r="C111" i="2"/>
  <c r="D94" i="2"/>
  <c r="D91" i="2"/>
  <c r="D90" i="2"/>
  <c r="D89" i="2"/>
  <c r="D88" i="2"/>
  <c r="D87" i="2"/>
  <c r="B38" i="2"/>
  <c r="C204" i="2" l="1"/>
  <c r="D92" i="2"/>
  <c r="C82" i="2"/>
  <c r="C76" i="2"/>
  <c r="C68" i="2"/>
  <c r="C53" i="2"/>
  <c r="C46" i="2"/>
  <c r="E36" i="2"/>
  <c r="C36" i="2"/>
  <c r="D36" i="2"/>
  <c r="B36" i="2"/>
  <c r="E27" i="2"/>
  <c r="D27" i="2"/>
  <c r="C27" i="2"/>
  <c r="B27" i="2"/>
  <c r="D60" i="1" l="1"/>
  <c r="D59" i="1"/>
  <c r="D52" i="1"/>
  <c r="D51" i="1"/>
  <c r="D50" i="1"/>
  <c r="D43" i="1"/>
  <c r="D34" i="1"/>
  <c r="F21" i="1"/>
  <c r="F25" i="1" s="1"/>
  <c r="F14" i="1"/>
  <c r="F16" i="1" s="1"/>
  <c r="D61" i="1" l="1"/>
  <c r="D58" i="1"/>
  <c r="D48" i="1"/>
  <c r="D49" i="1"/>
  <c r="D53" i="1"/>
  <c r="D57" i="1"/>
  <c r="D35" i="1"/>
  <c r="D36" i="1" s="1"/>
  <c r="D55" i="1" l="1"/>
  <c r="D54" i="1"/>
  <c r="D56" i="1"/>
</calcChain>
</file>

<file path=xl/sharedStrings.xml><?xml version="1.0" encoding="utf-8"?>
<sst xmlns="http://schemas.openxmlformats.org/spreadsheetml/2006/main" count="228" uniqueCount="172">
  <si>
    <t>(3-14) Comprehensive Ratio analysis</t>
  </si>
  <si>
    <t>The Jimenez Corporation’s forecasted 2017 financial statements follow, along with some industry average ratios. Calculate Jimenez’s 2017 forecasted ratios, compare them with the</t>
  </si>
  <si>
    <t>industry average data, and comment briefly on Jimenez’s projected strengths and weaknesses</t>
  </si>
  <si>
    <t>Jimenez Corporation: Forecasted Balance Sheet as of December 31, 2017</t>
  </si>
  <si>
    <t>Assets</t>
  </si>
  <si>
    <t>Liabilities and Equity</t>
  </si>
  <si>
    <t>Accounts receivable</t>
  </si>
  <si>
    <t>CASH</t>
  </si>
  <si>
    <t>Inventories</t>
  </si>
  <si>
    <t>Total current assets</t>
  </si>
  <si>
    <t>Fixed assets</t>
  </si>
  <si>
    <t>Total assets</t>
  </si>
  <si>
    <t>Accounts payable</t>
  </si>
  <si>
    <t xml:space="preserve">Notes payable </t>
  </si>
  <si>
    <t xml:space="preserve">Total liabilities and equity </t>
  </si>
  <si>
    <t>Retained earnings</t>
  </si>
  <si>
    <t>Common stock</t>
  </si>
  <si>
    <t>Long-term debt</t>
  </si>
  <si>
    <t xml:space="preserve">Total current liabilities </t>
  </si>
  <si>
    <t xml:space="preserve">Accruals </t>
  </si>
  <si>
    <t>Amount</t>
  </si>
  <si>
    <t>Amount ($)</t>
  </si>
  <si>
    <t>CHAPTER 3</t>
  </si>
  <si>
    <t xml:space="preserve">Problem 3-14 Page 131 </t>
  </si>
  <si>
    <t>Jimenez Corporation: Forecasted Income Statement for 2017</t>
  </si>
  <si>
    <t>Sales $4,290,000</t>
  </si>
  <si>
    <t>Selling, general, and administrative expenses 370,320</t>
  </si>
  <si>
    <t>Jimenez Corporation: Per Share Data for 2017</t>
  </si>
  <si>
    <t xml:space="preserve">Sales </t>
  </si>
  <si>
    <t>Cost of goods sold (excluding depreciation)</t>
  </si>
  <si>
    <t xml:space="preserve">Selling, general, and administrative expenses </t>
  </si>
  <si>
    <t>Depreciation</t>
  </si>
  <si>
    <t>Earnings before taxes (EBT)</t>
  </si>
  <si>
    <t xml:space="preserve">Taxes (40%) </t>
  </si>
  <si>
    <t xml:space="preserve">Net income </t>
  </si>
  <si>
    <t xml:space="preserve">EPS </t>
  </si>
  <si>
    <t xml:space="preserve">Cash dividends per share </t>
  </si>
  <si>
    <t xml:space="preserve">P/E ratio </t>
  </si>
  <si>
    <t>Market price (average)</t>
  </si>
  <si>
    <t xml:space="preserve">Number of shares outstanding </t>
  </si>
  <si>
    <t xml:space="preserve">Quick ratio </t>
  </si>
  <si>
    <t xml:space="preserve">Current ratio </t>
  </si>
  <si>
    <t xml:space="preserve">Inventory turnovera </t>
  </si>
  <si>
    <t>Days sales outstanding</t>
  </si>
  <si>
    <t xml:space="preserve">Total assets turnovera </t>
  </si>
  <si>
    <t xml:space="preserve">Market/Book ratio </t>
  </si>
  <si>
    <t xml:space="preserve">Price/Cash flow ratio </t>
  </si>
  <si>
    <t xml:space="preserve">Liabilities-to-assets ratio </t>
  </si>
  <si>
    <t xml:space="preserve">Debt-to-assets ratio </t>
  </si>
  <si>
    <t xml:space="preserve">Profit margin on sales </t>
  </si>
  <si>
    <t xml:space="preserve">Return on equity </t>
  </si>
  <si>
    <t xml:space="preserve">Return on assets </t>
  </si>
  <si>
    <t xml:space="preserve">Fixed assets turnovera </t>
  </si>
  <si>
    <t>Comment</t>
  </si>
  <si>
    <t xml:space="preserve"> According to the availabl data, it is clear that Jimenez Corporation is not headed to the right direction. The company is continually depending to debt to pay their bills according to liabilities to assest ratio.</t>
  </si>
  <si>
    <t>decrease in ratios such asquick, current, inventory turnover among others proves howw bad the company will have gone in the next year. The company should  improve the ways of production and efective management is also advisable.</t>
  </si>
  <si>
    <t>the share market is not badly of but also stands a chance to be checked into before it gets to worse</t>
  </si>
  <si>
    <t xml:space="preserve">                    FORECASTED Industry Ratios</t>
  </si>
  <si>
    <t>CHAPTER 4</t>
  </si>
  <si>
    <t>Mini Case Page 189</t>
  </si>
  <si>
    <t>Build a Model: Time Value of money</t>
  </si>
  <si>
    <t>FV</t>
  </si>
  <si>
    <t>Assume that you are nearing graduation and have applied for a job with a local bank. The bank’s evaluation process requires you to take an examination that covers several financial analysis techniques. The first section of the test addresses discounted cash flow analysis. See how you would do by answering the following questions.</t>
  </si>
  <si>
    <t>a. Draw time lines for: (1) a $100 lump sum cash flow at the end of Year 2, (2) an ordinary annuity of $100 per year for 3 years, and (3) an uneven cash flow stream of−$50, $100, $75, and $50 at the end of Years 0 through 3.</t>
  </si>
  <si>
    <t>I%</t>
  </si>
  <si>
    <t>(1) a $100 lump sum cash flow at the end of Year 2</t>
  </si>
  <si>
    <t>Period</t>
  </si>
  <si>
    <t>(2) an ordinary annuity of $100 per year for 3 years</t>
  </si>
  <si>
    <t>Time</t>
  </si>
  <si>
    <t>(3) an uneven cash flow stream of−$50, $100, $75, and $50 at the end of Years 0 through 3</t>
  </si>
  <si>
    <t>b. (1) What’s the future value of an initial $100 after 3 years if it is invested in an account paying 10% annual interest?</t>
  </si>
  <si>
    <t xml:space="preserve">Time </t>
  </si>
  <si>
    <t>r</t>
  </si>
  <si>
    <t>cashflow</t>
  </si>
  <si>
    <t xml:space="preserve"> (2) What’s the present value of $100 to be received in 3 years if the appropriate interest rate is 10%?</t>
  </si>
  <si>
    <t>Interest rate</t>
  </si>
  <si>
    <t>Cash flow</t>
  </si>
  <si>
    <t>years discounted</t>
  </si>
  <si>
    <t>period</t>
  </si>
  <si>
    <t>PV</t>
  </si>
  <si>
    <t>c. We sometimes need to find out how long it will take a sum of money (or something else, such as earnings, population, or prices) to grow to some specified amount. For example, if a company’s sales are growing at a rate of 20% per year, how long will it take sales to double?</t>
  </si>
  <si>
    <t>number of periods</t>
  </si>
  <si>
    <t>d. If you want an investment to double in 3 years, what interest rate must it earn?</t>
  </si>
  <si>
    <t>N</t>
  </si>
  <si>
    <t>Present Value</t>
  </si>
  <si>
    <t>Future Value</t>
  </si>
  <si>
    <t>period in years</t>
  </si>
  <si>
    <t>the rate</t>
  </si>
  <si>
    <t>e. What’s the difference between an ordinary annuity and an annuity due? What type of annuity is shown below? How would you change the time line to show the other type of annuity?</t>
  </si>
  <si>
    <t xml:space="preserve">Ordinaly annuity is a series of equal payments of fixed period of time. On the other hand, annuity due is where payment occurs at the begging of each period </t>
  </si>
  <si>
    <t xml:space="preserve"> This particular example of ordinary annuity</t>
  </si>
  <si>
    <t xml:space="preserve">We change the timeline by multiplying by (1+i) to convert it to annuity due. </t>
  </si>
  <si>
    <t>f. (1) What’s the future value of a 3-year ordinary annuity of $100 if the appropriate interest rate is 10%?</t>
  </si>
  <si>
    <t>rate</t>
  </si>
  <si>
    <t>pmt</t>
  </si>
  <si>
    <t>annuity fv</t>
  </si>
  <si>
    <t>(2) What’s the present value of the annuity?</t>
  </si>
  <si>
    <t>Annuity PV</t>
  </si>
  <si>
    <t>(3) What would the future and present values be if the annuity were an annuity due?</t>
  </si>
  <si>
    <t>Nper</t>
  </si>
  <si>
    <t xml:space="preserve">               PMT</t>
  </si>
  <si>
    <t>Annuity FV</t>
  </si>
  <si>
    <t>g. What is the present value of the following uneven cash flow stream? The appropriate interest rate is 10%, compounded annually.</t>
  </si>
  <si>
    <t>pv</t>
  </si>
  <si>
    <t>years</t>
  </si>
  <si>
    <t>amount</t>
  </si>
  <si>
    <t>inrterest rate</t>
  </si>
  <si>
    <t>PV ,compoundeed annually</t>
  </si>
  <si>
    <t>wizard function</t>
  </si>
  <si>
    <t>h. (1) Define the stated (quoted) or nominal rate INOM as well as the periodic rate IPER.</t>
  </si>
  <si>
    <t xml:space="preserve"> (2) Will the future value be larger or smaller if we compound an initial amount more often than annually—for example, every 6 months, or semiannually—holding the stated interest rate constant? Why?</t>
  </si>
  <si>
    <t xml:space="preserve">Nominal rate INOM indicates rates in contracts, mosstly given as a percentage, while periodic rate IPER shows number of periods in a year, mostly given as a value. </t>
  </si>
  <si>
    <t xml:space="preserve">The future value will be larger because there is more interest eaned from compounding semiannually as compared to annual compounding. </t>
  </si>
  <si>
    <t xml:space="preserve"> (3) What is the future value of $100 after 5 years under 12% annual compounding? Semiannual compounding? Quarterly compounding? Monthly compounding?Daily compounding?</t>
  </si>
  <si>
    <t>NPER</t>
  </si>
  <si>
    <t>Rate</t>
  </si>
  <si>
    <t>Present value</t>
  </si>
  <si>
    <t>annual compounding</t>
  </si>
  <si>
    <t>fv</t>
  </si>
  <si>
    <t xml:space="preserve">Semiannual compounding? </t>
  </si>
  <si>
    <t>Quarterly compounding</t>
  </si>
  <si>
    <t>Monthly compounding</t>
  </si>
  <si>
    <t>Daily compounding</t>
  </si>
  <si>
    <t xml:space="preserve"> (4) What is the effective annual rate (EAR or EFF %)? What is the EFF% for a nominal rate of 12%, compounded semiannually? Compounded quarterly? Compounded monthly? Compounded daily?</t>
  </si>
  <si>
    <t xml:space="preserve">Effective annual rate takes care of compounding periods of a period payment. </t>
  </si>
  <si>
    <t>nominal rate of 12%, compounded semiannually</t>
  </si>
  <si>
    <t>nominal rate</t>
  </si>
  <si>
    <t>Compounded quarterly</t>
  </si>
  <si>
    <t>Compounded monthly</t>
  </si>
  <si>
    <t>Compounded daily?</t>
  </si>
  <si>
    <t>I. Will the effective annual rate ever be equal to the nominal (quoted) rate?</t>
  </si>
  <si>
    <t>This occurs once, only when the compounding period is exactly one year.</t>
  </si>
  <si>
    <t>j. (1) Construct an amortization schedule for a $1,000, 10% annual rate loan with three equal installments.</t>
  </si>
  <si>
    <t>I. rate</t>
  </si>
  <si>
    <t>Beging Amount</t>
  </si>
  <si>
    <t>payment</t>
  </si>
  <si>
    <t>Interest</t>
  </si>
  <si>
    <t>Principal</t>
  </si>
  <si>
    <t>Ending Amount</t>
  </si>
  <si>
    <t>amortization schedule</t>
  </si>
  <si>
    <t xml:space="preserve"> (2) During Year 2, what is the annual interest expense for the borrower, and what is the annual interest income for the lender?</t>
  </si>
  <si>
    <t>Annual interest expense</t>
  </si>
  <si>
    <t>k. Suppose that on January 1 you deposit $100 in an account that pays a nominal (or quoted) interest rate of 11.33463%, with interest added (compounded) daily. How much will you have in your account on October 1, or 9 months later?</t>
  </si>
  <si>
    <t>interest rate</t>
  </si>
  <si>
    <t>annualm interest rate</t>
  </si>
  <si>
    <t>no of days( NPER)</t>
  </si>
  <si>
    <t>l. (1) What is the value at the end of Year 3 of the following cash flow stream if the quoted interest rate is 10%, compounded semiannually?</t>
  </si>
  <si>
    <t>Annual Interest rate</t>
  </si>
  <si>
    <t>No of periods in a year</t>
  </si>
  <si>
    <t>periodic rate</t>
  </si>
  <si>
    <t>Annual effective rate</t>
  </si>
  <si>
    <t>future value</t>
  </si>
  <si>
    <t>present value</t>
  </si>
  <si>
    <t xml:space="preserve"> (2) What is the PV of the same stream?</t>
  </si>
  <si>
    <t>Approach 1</t>
  </si>
  <si>
    <t>Approach 2</t>
  </si>
  <si>
    <t>annual effective rate</t>
  </si>
  <si>
    <t xml:space="preserve"> (3) Is the stream an annuity?</t>
  </si>
  <si>
    <t>The stream is not annuity because the payment is not done in every compounding  period</t>
  </si>
  <si>
    <t xml:space="preserve"> (4) An important rule is that you should never show a nominal rate on a time line or use it in calculations unless what condition holds? (Hint: Think of annual compounding, when INOM EFF% IPER.) What would be wrong with your answers to parts (1) and (2) if you used the nominal rate of 10% rather than the periodic rate, INOM 2 10% 2 5%?</t>
  </si>
  <si>
    <t xml:space="preserve">The problem would have been that Nominal rates are only used in annual compounding. </t>
  </si>
  <si>
    <t>m. Suppose someone offered to sell you a note calling for the payment of $1,000 in 15 months. They offer to sell it to you for $850. You have $850 in a bank time deposit that pays a 6.76649% nominal rate with daily compounding, which is a 7% effective annual interest rate, and you plan to leave the money in the bank unless you buy the note. The note is not risky—you are sure it will be paid on schedule. Should you buy the note? Check the decision in three ways: (1) by comparing your future value if you buy the note versus leaving your money in the bank; (2) by comparing the PV of the note with your current bank account; and (3) by comparing the EFF% on the note with that of the bank account.</t>
  </si>
  <si>
    <t>(1) by comparing your future value if you buy the note versus leaving your money in the bank</t>
  </si>
  <si>
    <t xml:space="preserve">Nominal interest rate </t>
  </si>
  <si>
    <t>(2) by comparing the PV of the note with your current bank account</t>
  </si>
  <si>
    <t>PV of te note</t>
  </si>
  <si>
    <t>The value is greater than $850 so it is advisible to buy the note</t>
  </si>
  <si>
    <t>The value is less than 1000 so it is advisable tobuy the note.</t>
  </si>
  <si>
    <t>(3) by comparing the EFF% on the note with that of the bank account.</t>
  </si>
  <si>
    <t>EFF</t>
  </si>
  <si>
    <t>EAR</t>
  </si>
  <si>
    <t>The value is greater than 7% so it is advisible to buy the note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</si>
</sst>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8" formatCode="&quot;$&quot;#,##0.00_);[Red]\(&quot;$&quot;#,##0.00\)"/>
    <numFmt numFmtId="42" formatCode="_(&quot;$&quot;* #,##0_);_(&quot;$&quot;* \(#,##0\);_(&quot;$&quot;* &quot;-&quot;_);_(@_)"/>
    <numFmt numFmtId="44" formatCode="_(&quot;$&quot;* #,##0.00_);_(&quot;$&quot;* \(#,##0.00\);_(&quot;$&quot;* &quot;-&quot;??_);_(@_)"/>
    <numFmt numFmtId="164" formatCode="&quot;$&quot;#,##0.00"/>
    <numFmt numFmtId="165" formatCode="&quot;$&quot;#,##0"/>
    <numFmt numFmtId="166" formatCode="0.0"/>
    <numFmt numFmtId="167" formatCode="0.0%"/>
  </numFmts>
  <fonts count="7" x14ac:knownFonts="1">
    <font>
      <sz val="11"/>
      <color theme="1"/>
      <name val="Calibri"/>
      <family val="2"/>
      <scheme val="minor"/>
    </font>
    <font>
      <sz val="11"/>
      <color theme="1"/>
      <name val="Calibri"/>
      <family val="2"/>
      <scheme val="minor"/>
    </font>
    <font>
      <b/>
      <sz val="11"/>
      <color theme="1"/>
      <name val="Calibri"/>
      <family val="2"/>
      <scheme val="minor"/>
    </font>
    <font>
      <b/>
      <sz val="16"/>
      <color theme="1"/>
      <name val="Calibri"/>
      <family val="2"/>
      <scheme val="minor"/>
    </font>
    <font>
      <b/>
      <sz val="14"/>
      <color theme="1"/>
      <name val="Calibri"/>
      <family val="2"/>
      <scheme val="minor"/>
    </font>
    <font>
      <b/>
      <sz val="12"/>
      <color rgb="FF222222"/>
      <name val="Times New Roman"/>
      <family val="1"/>
    </font>
    <font>
      <b/>
      <i/>
      <sz val="11"/>
      <color theme="1"/>
      <name val="Calibri"/>
      <family val="2"/>
      <scheme val="minor"/>
    </font>
  </fonts>
  <fills count="3">
    <fill>
      <patternFill patternType="none"/>
    </fill>
    <fill>
      <patternFill patternType="gray125"/>
    </fill>
    <fill>
      <patternFill patternType="solid">
        <fgColor rgb="FF00B050"/>
        <bgColor indexed="64"/>
      </patternFill>
    </fill>
  </fills>
  <borders count="1">
    <border>
      <left/>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38">
    <xf numFmtId="0" fontId="0" fillId="0" borderId="0" xfId="0"/>
    <xf numFmtId="0" fontId="3" fillId="0" borderId="0" xfId="0" applyFont="1"/>
    <xf numFmtId="0" fontId="0" fillId="0" borderId="0" xfId="0" applyAlignment="1">
      <alignment horizontal="center"/>
    </xf>
    <xf numFmtId="0" fontId="2" fillId="0" borderId="0" xfId="0" applyFont="1"/>
    <xf numFmtId="0" fontId="4" fillId="0" borderId="0" xfId="0" applyFont="1"/>
    <xf numFmtId="0" fontId="0" fillId="0" borderId="0" xfId="0" applyAlignment="1"/>
    <xf numFmtId="0" fontId="2" fillId="0" borderId="0" xfId="0" applyFont="1" applyAlignment="1"/>
    <xf numFmtId="165" fontId="0" fillId="0" borderId="0" xfId="0" applyNumberFormat="1"/>
    <xf numFmtId="165" fontId="0" fillId="0" borderId="0" xfId="1" applyNumberFormat="1" applyFont="1" applyAlignment="1"/>
    <xf numFmtId="0" fontId="0" fillId="2" borderId="0" xfId="0" applyFill="1"/>
    <xf numFmtId="0" fontId="5" fillId="0" borderId="0" xfId="0" applyFont="1"/>
    <xf numFmtId="8" fontId="0" fillId="0" borderId="0" xfId="0" applyNumberFormat="1"/>
    <xf numFmtId="0" fontId="2" fillId="0" borderId="0" xfId="0" applyFont="1" applyAlignment="1">
      <alignment vertical="center"/>
    </xf>
    <xf numFmtId="8" fontId="0" fillId="2" borderId="0" xfId="0" applyNumberFormat="1" applyFill="1"/>
    <xf numFmtId="9" fontId="0" fillId="0" borderId="0" xfId="2" applyFont="1"/>
    <xf numFmtId="2" fontId="0" fillId="0" borderId="0" xfId="0" applyNumberFormat="1"/>
    <xf numFmtId="0" fontId="0" fillId="0" borderId="0" xfId="0" applyAlignment="1">
      <alignment horizontal="center"/>
    </xf>
    <xf numFmtId="166" fontId="0" fillId="2" borderId="0" xfId="0" applyNumberFormat="1" applyFill="1"/>
    <xf numFmtId="10" fontId="0" fillId="2" borderId="0" xfId="0" applyNumberFormat="1" applyFill="1"/>
    <xf numFmtId="164" fontId="0" fillId="2" borderId="0" xfId="0" applyNumberFormat="1" applyFill="1"/>
    <xf numFmtId="0" fontId="0" fillId="0" borderId="0" xfId="0" applyFill="1"/>
    <xf numFmtId="164" fontId="0" fillId="0" borderId="0" xfId="0" applyNumberFormat="1"/>
    <xf numFmtId="0" fontId="6" fillId="0" borderId="0" xfId="0" applyFont="1"/>
    <xf numFmtId="10" fontId="0" fillId="0" borderId="0" xfId="0" applyNumberFormat="1"/>
    <xf numFmtId="9" fontId="0" fillId="0" borderId="0" xfId="0" applyNumberFormat="1"/>
    <xf numFmtId="10" fontId="0" fillId="0" borderId="0" xfId="2" applyNumberFormat="1" applyFont="1"/>
    <xf numFmtId="2" fontId="0" fillId="2" borderId="0" xfId="0" applyNumberFormat="1" applyFill="1"/>
    <xf numFmtId="2" fontId="0" fillId="0" borderId="0" xfId="0" applyNumberFormat="1" applyFill="1"/>
    <xf numFmtId="1" fontId="0" fillId="0" borderId="0" xfId="0" applyNumberFormat="1"/>
    <xf numFmtId="0" fontId="0" fillId="0" borderId="0" xfId="0" applyAlignment="1">
      <alignment horizontal="center"/>
    </xf>
    <xf numFmtId="0" fontId="2" fillId="0" borderId="0" xfId="0" applyFont="1" applyAlignment="1">
      <alignment horizontal="center"/>
    </xf>
    <xf numFmtId="42" fontId="0" fillId="0" borderId="0" xfId="1" applyNumberFormat="1" applyFont="1" applyAlignment="1">
      <alignment horizontal="center"/>
    </xf>
    <xf numFmtId="165" fontId="0" fillId="0" borderId="0" xfId="1" applyNumberFormat="1" applyFont="1" applyAlignment="1">
      <alignment horizontal="center"/>
    </xf>
    <xf numFmtId="165" fontId="0" fillId="0" borderId="0" xfId="0" applyNumberFormat="1" applyAlignment="1">
      <alignment horizontal="center"/>
    </xf>
    <xf numFmtId="44" fontId="0" fillId="0" borderId="0" xfId="1" applyFont="1" applyAlignment="1">
      <alignment horizontal="center"/>
    </xf>
    <xf numFmtId="166" fontId="0" fillId="0" borderId="0" xfId="0" applyNumberFormat="1" applyAlignment="1">
      <alignment horizontal="center"/>
    </xf>
    <xf numFmtId="0" fontId="2" fillId="0" borderId="0" xfId="0" applyFont="1" applyAlignment="1">
      <alignment horizontal="left"/>
    </xf>
    <xf numFmtId="167" fontId="0" fillId="0" borderId="0" xfId="0" applyNumberFormat="1" applyAlignment="1">
      <alignment horizontal="center"/>
    </xf>
  </cellXfs>
  <cellStyles count="3">
    <cellStyle name="Currency" xfId="1" builtinId="4"/>
    <cellStyle name="Normal" xfId="0" builtinId="0"/>
    <cellStyle name="Percent" xfId="2" builtinId="5"/>
  </cellStyles>
  <dxfs count="4">
    <dxf>
      <numFmt numFmtId="0" formatCode="General"/>
    </dxf>
    <dxf>
      <numFmt numFmtId="0" formatCode="General"/>
    </dxf>
    <dxf>
      <numFmt numFmtId="0" formatCode="General"/>
    </dxf>
    <dxf>
      <numFmt numFmtId="12" formatCode="&quot;$&quot;#,##0.00_);[Red]\(&quot;$&quot;#,##0.0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id="1" name="Table1" displayName="Table1" ref="C164:H168" totalsRowShown="0">
  <autoFilter ref="C164:H168"/>
  <tableColumns count="6">
    <tableColumn id="1" name="N"/>
    <tableColumn id="2" name="Beging Amount"/>
    <tableColumn id="3" name="payment" dataDxfId="3">
      <calculatedColumnFormula>PMT(C159,C158,-C160)</calculatedColumnFormula>
    </tableColumn>
    <tableColumn id="4" name="Interest" dataDxfId="2">
      <calculatedColumnFormula>Table1[[#This Row],[Beging Amount]]*C159</calculatedColumnFormula>
    </tableColumn>
    <tableColumn id="5" name="Principal" dataDxfId="1">
      <calculatedColumnFormula>Table1[[#This Row],[payment]]-Table1[[#This Row],[Interest]]</calculatedColumnFormula>
    </tableColumn>
    <tableColumn id="6" name="Ending Amount" dataDxfId="0">
      <calculatedColumnFormula>Table1[[#This Row],[Beging Amount]]-Table1[[#This Row],[Principal]]</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6"/>
  <sheetViews>
    <sheetView topLeftCell="A48" zoomScale="70" zoomScaleNormal="70" workbookViewId="0">
      <selection activeCell="B68" sqref="B68:E71"/>
    </sheetView>
  </sheetViews>
  <sheetFormatPr defaultRowHeight="14.4" x14ac:dyDescent="0.3"/>
  <cols>
    <col min="4" max="4" width="12" bestFit="1" customWidth="1"/>
    <col min="5" max="5" width="10.5546875" bestFit="1" customWidth="1"/>
    <col min="6" max="6" width="12" bestFit="1" customWidth="1"/>
    <col min="7" max="7" width="12" customWidth="1"/>
    <col min="8" max="8" width="12.109375" bestFit="1" customWidth="1"/>
    <col min="9" max="9" width="13.44140625" bestFit="1" customWidth="1"/>
  </cols>
  <sheetData>
    <row r="1" spans="1:8" ht="18" x14ac:dyDescent="0.35">
      <c r="B1" s="4" t="s">
        <v>22</v>
      </c>
      <c r="C1" s="4"/>
      <c r="D1" s="4"/>
    </row>
    <row r="2" spans="1:8" ht="18" x14ac:dyDescent="0.35">
      <c r="B2" s="4" t="s">
        <v>23</v>
      </c>
      <c r="C2" s="4"/>
      <c r="D2" s="4"/>
    </row>
    <row r="3" spans="1:8" ht="21" x14ac:dyDescent="0.4">
      <c r="A3" s="1" t="s">
        <v>0</v>
      </c>
    </row>
    <row r="5" spans="1:8" x14ac:dyDescent="0.3">
      <c r="A5" t="s">
        <v>1</v>
      </c>
    </row>
    <row r="6" spans="1:8" x14ac:dyDescent="0.3">
      <c r="A6" t="s">
        <v>2</v>
      </c>
    </row>
    <row r="8" spans="1:8" x14ac:dyDescent="0.3">
      <c r="B8" t="s">
        <v>3</v>
      </c>
    </row>
    <row r="10" spans="1:8" x14ac:dyDescent="0.3">
      <c r="C10" s="30" t="s">
        <v>4</v>
      </c>
      <c r="D10" s="30"/>
      <c r="E10" s="30"/>
      <c r="F10" s="30" t="s">
        <v>21</v>
      </c>
      <c r="G10" s="30"/>
      <c r="H10" s="30" t="s">
        <v>20</v>
      </c>
    </row>
    <row r="11" spans="1:8" x14ac:dyDescent="0.3">
      <c r="C11" s="29" t="s">
        <v>7</v>
      </c>
      <c r="D11" s="29"/>
      <c r="E11" s="29"/>
      <c r="F11" s="31">
        <v>72000</v>
      </c>
      <c r="G11" s="31"/>
      <c r="H11" s="31"/>
    </row>
    <row r="12" spans="1:8" x14ac:dyDescent="0.3">
      <c r="C12" s="29" t="s">
        <v>6</v>
      </c>
      <c r="D12" s="29"/>
      <c r="E12" s="29"/>
      <c r="F12" s="31">
        <v>439000</v>
      </c>
      <c r="G12" s="31"/>
      <c r="H12" s="31"/>
    </row>
    <row r="13" spans="1:8" x14ac:dyDescent="0.3">
      <c r="C13" s="29" t="s">
        <v>8</v>
      </c>
      <c r="D13" s="29"/>
      <c r="E13" s="29"/>
      <c r="F13" s="31">
        <v>894000</v>
      </c>
      <c r="G13" s="31"/>
      <c r="H13" s="31"/>
    </row>
    <row r="14" spans="1:8" x14ac:dyDescent="0.3">
      <c r="C14" s="29" t="s">
        <v>9</v>
      </c>
      <c r="D14" s="29"/>
      <c r="E14" s="29"/>
      <c r="F14" s="31">
        <f>SUM(F11:H13)</f>
        <v>1405000</v>
      </c>
      <c r="G14" s="31"/>
      <c r="H14" s="31"/>
    </row>
    <row r="15" spans="1:8" x14ac:dyDescent="0.3">
      <c r="C15" s="29" t="s">
        <v>10</v>
      </c>
      <c r="D15" s="29"/>
      <c r="E15" s="29"/>
      <c r="F15" s="31">
        <v>431000</v>
      </c>
      <c r="G15" s="31"/>
      <c r="H15" s="31"/>
    </row>
    <row r="16" spans="1:8" x14ac:dyDescent="0.3">
      <c r="C16" s="29" t="s">
        <v>11</v>
      </c>
      <c r="D16" s="29"/>
      <c r="E16" s="29"/>
      <c r="F16" s="31">
        <f>SUM(F14:H15)</f>
        <v>1836000</v>
      </c>
      <c r="G16" s="31"/>
      <c r="H16" s="31"/>
    </row>
    <row r="17" spans="1:12" x14ac:dyDescent="0.3">
      <c r="C17" s="30" t="s">
        <v>5</v>
      </c>
      <c r="D17" s="30"/>
      <c r="E17" s="30"/>
      <c r="F17" s="31"/>
      <c r="G17" s="31"/>
      <c r="H17" s="31"/>
    </row>
    <row r="18" spans="1:12" x14ac:dyDescent="0.3">
      <c r="C18" s="29" t="s">
        <v>12</v>
      </c>
      <c r="D18" s="29"/>
      <c r="E18" s="29"/>
      <c r="F18" s="31">
        <v>332000</v>
      </c>
      <c r="G18" s="31"/>
      <c r="H18" s="31"/>
    </row>
    <row r="19" spans="1:12" x14ac:dyDescent="0.3">
      <c r="C19" s="29" t="s">
        <v>13</v>
      </c>
      <c r="D19" s="29"/>
      <c r="E19" s="29"/>
      <c r="F19" s="31">
        <v>100000</v>
      </c>
      <c r="G19" s="31"/>
      <c r="H19" s="31"/>
    </row>
    <row r="20" spans="1:12" x14ac:dyDescent="0.3">
      <c r="C20" s="29" t="s">
        <v>19</v>
      </c>
      <c r="D20" s="29"/>
      <c r="E20" s="29"/>
      <c r="F20" s="31">
        <v>170000</v>
      </c>
      <c r="G20" s="31"/>
      <c r="H20" s="31"/>
    </row>
    <row r="21" spans="1:12" x14ac:dyDescent="0.3">
      <c r="C21" s="30" t="s">
        <v>18</v>
      </c>
      <c r="D21" s="30"/>
      <c r="E21" s="30"/>
      <c r="F21" s="31">
        <f>SUM(F18:H20)</f>
        <v>602000</v>
      </c>
      <c r="G21" s="31"/>
      <c r="H21" s="31"/>
    </row>
    <row r="22" spans="1:12" x14ac:dyDescent="0.3">
      <c r="C22" s="29" t="s">
        <v>17</v>
      </c>
      <c r="D22" s="29"/>
      <c r="E22" s="29"/>
      <c r="F22" s="31">
        <v>404290</v>
      </c>
      <c r="G22" s="31"/>
      <c r="H22" s="31"/>
    </row>
    <row r="23" spans="1:12" x14ac:dyDescent="0.3">
      <c r="C23" s="29" t="s">
        <v>16</v>
      </c>
      <c r="D23" s="29"/>
      <c r="E23" s="29"/>
      <c r="F23" s="31">
        <v>575000</v>
      </c>
      <c r="G23" s="31"/>
      <c r="H23" s="31"/>
    </row>
    <row r="24" spans="1:12" x14ac:dyDescent="0.3">
      <c r="C24" s="29" t="s">
        <v>15</v>
      </c>
      <c r="D24" s="29"/>
      <c r="E24" s="29"/>
      <c r="F24" s="31">
        <v>254710</v>
      </c>
      <c r="G24" s="31"/>
      <c r="H24" s="31"/>
    </row>
    <row r="25" spans="1:12" x14ac:dyDescent="0.3">
      <c r="C25" s="30" t="s">
        <v>14</v>
      </c>
      <c r="D25" s="30"/>
      <c r="E25" s="30"/>
      <c r="F25" s="31">
        <f>SUM(F21:H24)</f>
        <v>1836000</v>
      </c>
      <c r="G25" s="31"/>
      <c r="H25" s="31"/>
    </row>
    <row r="26" spans="1:12" x14ac:dyDescent="0.3">
      <c r="H26" s="29"/>
      <c r="I26" s="29"/>
      <c r="J26" s="29"/>
    </row>
    <row r="27" spans="1:12" x14ac:dyDescent="0.3">
      <c r="H27" s="29"/>
      <c r="I27" s="29"/>
      <c r="J27" s="29"/>
    </row>
    <row r="28" spans="1:12" x14ac:dyDescent="0.3">
      <c r="A28" s="3" t="s">
        <v>24</v>
      </c>
      <c r="B28" s="3"/>
      <c r="C28" s="3"/>
      <c r="D28" s="3"/>
      <c r="E28" s="3"/>
      <c r="F28" s="3"/>
      <c r="G28" s="3"/>
      <c r="H28" s="6"/>
      <c r="I28" s="6"/>
      <c r="J28" s="6"/>
      <c r="K28" s="3"/>
      <c r="L28" s="3"/>
    </row>
    <row r="29" spans="1:12" x14ac:dyDescent="0.3">
      <c r="D29" s="29" t="s">
        <v>20</v>
      </c>
      <c r="E29" s="29"/>
      <c r="H29" s="5"/>
      <c r="I29" s="5"/>
      <c r="J29" s="5"/>
    </row>
    <row r="30" spans="1:12" x14ac:dyDescent="0.3">
      <c r="A30" s="29" t="s">
        <v>28</v>
      </c>
      <c r="B30" s="29" t="s">
        <v>25</v>
      </c>
      <c r="C30" s="29" t="s">
        <v>25</v>
      </c>
      <c r="D30" s="33">
        <v>4290000</v>
      </c>
      <c r="E30" s="33"/>
    </row>
    <row r="31" spans="1:12" x14ac:dyDescent="0.3">
      <c r="A31" s="29" t="s">
        <v>29</v>
      </c>
      <c r="B31" s="29" t="s">
        <v>29</v>
      </c>
      <c r="C31" s="29" t="s">
        <v>29</v>
      </c>
      <c r="D31" s="32">
        <v>3580000</v>
      </c>
      <c r="E31" s="32"/>
      <c r="F31" s="7"/>
      <c r="G31" s="7"/>
    </row>
    <row r="32" spans="1:12" x14ac:dyDescent="0.3">
      <c r="A32" s="29" t="s">
        <v>30</v>
      </c>
      <c r="B32" s="29" t="s">
        <v>26</v>
      </c>
      <c r="C32" s="29" t="s">
        <v>26</v>
      </c>
      <c r="D32" s="32">
        <v>370320</v>
      </c>
      <c r="E32" s="32"/>
    </row>
    <row r="33" spans="1:12" x14ac:dyDescent="0.3">
      <c r="A33" s="29" t="s">
        <v>31</v>
      </c>
      <c r="B33" s="29"/>
      <c r="C33" s="29"/>
      <c r="D33" s="32">
        <v>159000</v>
      </c>
      <c r="E33" s="32"/>
      <c r="H33" s="7"/>
    </row>
    <row r="34" spans="1:12" x14ac:dyDescent="0.3">
      <c r="A34" s="29" t="s">
        <v>32</v>
      </c>
      <c r="B34" s="29"/>
      <c r="C34" s="29"/>
      <c r="D34" s="32">
        <f>D30-(SUM(D31:E33))</f>
        <v>180680</v>
      </c>
      <c r="E34" s="32"/>
      <c r="F34" s="7"/>
      <c r="G34" s="7"/>
    </row>
    <row r="35" spans="1:12" x14ac:dyDescent="0.3">
      <c r="A35" s="29" t="s">
        <v>33</v>
      </c>
      <c r="B35" s="29"/>
      <c r="C35" s="29"/>
      <c r="D35" s="32">
        <f>D34*40%</f>
        <v>72272</v>
      </c>
      <c r="E35" s="32"/>
    </row>
    <row r="36" spans="1:12" x14ac:dyDescent="0.3">
      <c r="A36" s="29" t="s">
        <v>34</v>
      </c>
      <c r="B36" s="29"/>
      <c r="C36" s="29"/>
      <c r="D36" s="32">
        <f>D34-D35</f>
        <v>108408</v>
      </c>
      <c r="E36" s="32"/>
    </row>
    <row r="37" spans="1:12" x14ac:dyDescent="0.3">
      <c r="A37" s="29"/>
      <c r="B37" s="29"/>
      <c r="C37" s="29"/>
      <c r="D37" s="32"/>
      <c r="E37" s="32"/>
    </row>
    <row r="38" spans="1:12" x14ac:dyDescent="0.3">
      <c r="H38" s="5"/>
      <c r="I38" s="5"/>
      <c r="J38" s="5"/>
      <c r="K38" s="32"/>
      <c r="L38" s="32"/>
    </row>
    <row r="39" spans="1:12" x14ac:dyDescent="0.3">
      <c r="A39" s="3" t="s">
        <v>27</v>
      </c>
      <c r="B39" s="3"/>
      <c r="C39" s="3"/>
      <c r="D39" s="3"/>
      <c r="E39" s="3"/>
      <c r="H39" s="5"/>
      <c r="I39" s="5"/>
      <c r="J39" s="5"/>
      <c r="K39" s="32"/>
      <c r="L39" s="32"/>
    </row>
    <row r="40" spans="1:12" x14ac:dyDescent="0.3">
      <c r="H40" s="8"/>
      <c r="I40" s="8"/>
    </row>
    <row r="41" spans="1:12" x14ac:dyDescent="0.3">
      <c r="A41" s="29" t="s">
        <v>35</v>
      </c>
      <c r="B41" s="29"/>
      <c r="C41" s="29"/>
      <c r="D41" s="34">
        <v>4.71</v>
      </c>
      <c r="E41" s="34"/>
      <c r="H41" s="8"/>
      <c r="I41" s="8"/>
    </row>
    <row r="42" spans="1:12" x14ac:dyDescent="0.3">
      <c r="A42" s="29" t="s">
        <v>36</v>
      </c>
      <c r="B42" s="29"/>
      <c r="C42" s="29"/>
      <c r="D42" s="34">
        <v>0.95</v>
      </c>
      <c r="E42" s="34"/>
      <c r="H42" s="8"/>
      <c r="I42" s="8"/>
    </row>
    <row r="43" spans="1:12" x14ac:dyDescent="0.3">
      <c r="A43" s="29" t="s">
        <v>37</v>
      </c>
      <c r="B43" s="29"/>
      <c r="C43" s="29"/>
      <c r="D43" s="35">
        <f>D41/D42</f>
        <v>4.9578947368421051</v>
      </c>
      <c r="E43" s="35"/>
      <c r="H43" s="8"/>
      <c r="I43" s="8"/>
    </row>
    <row r="44" spans="1:12" x14ac:dyDescent="0.3">
      <c r="A44" s="29" t="s">
        <v>38</v>
      </c>
      <c r="B44" s="29"/>
      <c r="C44" s="29"/>
      <c r="D44" s="34">
        <v>23.57</v>
      </c>
      <c r="E44" s="34"/>
      <c r="H44" s="8"/>
      <c r="I44" s="8"/>
    </row>
    <row r="45" spans="1:12" x14ac:dyDescent="0.3">
      <c r="A45" s="29" t="s">
        <v>39</v>
      </c>
      <c r="B45" s="29"/>
      <c r="C45" s="29"/>
      <c r="D45" s="29">
        <v>230000</v>
      </c>
      <c r="E45" s="29"/>
      <c r="H45" s="8"/>
      <c r="I45" s="8"/>
    </row>
    <row r="46" spans="1:12" x14ac:dyDescent="0.3">
      <c r="A46" s="2"/>
      <c r="B46" s="2"/>
      <c r="C46" s="2"/>
      <c r="D46" s="2"/>
      <c r="E46" s="2"/>
      <c r="H46" s="8"/>
      <c r="I46" s="8"/>
    </row>
    <row r="47" spans="1:12" x14ac:dyDescent="0.3">
      <c r="A47" s="36" t="s">
        <v>57</v>
      </c>
      <c r="B47" s="36"/>
      <c r="C47" s="36"/>
      <c r="D47" s="36"/>
      <c r="E47" s="36"/>
      <c r="F47" s="36"/>
      <c r="G47" s="36"/>
      <c r="H47" s="36"/>
      <c r="I47" s="8"/>
    </row>
    <row r="48" spans="1:12" x14ac:dyDescent="0.3">
      <c r="A48" s="29" t="s">
        <v>40</v>
      </c>
      <c r="B48" s="29"/>
      <c r="C48" s="29"/>
      <c r="D48" s="35">
        <f>(F14-F13)/F21</f>
        <v>0.84883720930232553</v>
      </c>
      <c r="E48" s="35"/>
      <c r="H48" s="8"/>
      <c r="I48" s="8"/>
    </row>
    <row r="49" spans="1:12" x14ac:dyDescent="0.3">
      <c r="A49" s="29" t="s">
        <v>41</v>
      </c>
      <c r="B49" s="29"/>
      <c r="C49" s="29"/>
      <c r="D49" s="35">
        <f>F14/F21</f>
        <v>2.3338870431893688</v>
      </c>
      <c r="E49" s="35"/>
      <c r="H49" s="8"/>
      <c r="I49" s="8"/>
    </row>
    <row r="50" spans="1:12" x14ac:dyDescent="0.3">
      <c r="A50" s="29" t="s">
        <v>42</v>
      </c>
      <c r="B50" s="29"/>
      <c r="C50" s="29"/>
      <c r="D50" s="35">
        <f>D31/F13</f>
        <v>4.0044742729306488</v>
      </c>
      <c r="E50" s="35"/>
      <c r="H50" s="8"/>
      <c r="I50" s="8"/>
    </row>
    <row r="51" spans="1:12" x14ac:dyDescent="0.3">
      <c r="A51" s="29" t="s">
        <v>43</v>
      </c>
      <c r="B51" s="29"/>
      <c r="C51" s="29"/>
      <c r="D51" s="35">
        <f>(F12/(D30/365))</f>
        <v>37.350815850815856</v>
      </c>
      <c r="E51" s="35"/>
      <c r="H51" s="8"/>
      <c r="I51" s="8"/>
      <c r="J51" s="30"/>
      <c r="K51" s="30"/>
      <c r="L51" s="30"/>
    </row>
    <row r="52" spans="1:12" x14ac:dyDescent="0.3">
      <c r="A52" s="29" t="s">
        <v>52</v>
      </c>
      <c r="B52" s="29"/>
      <c r="C52" s="29"/>
      <c r="D52" s="35">
        <f>D30/F15</f>
        <v>9.9535962877030162</v>
      </c>
      <c r="E52" s="35"/>
      <c r="H52" s="8"/>
      <c r="I52" s="8"/>
    </row>
    <row r="53" spans="1:12" x14ac:dyDescent="0.3">
      <c r="A53" s="29" t="s">
        <v>44</v>
      </c>
      <c r="B53" s="29"/>
      <c r="C53" s="29"/>
      <c r="D53" s="35">
        <f>D30/F16</f>
        <v>2.3366013071895426</v>
      </c>
      <c r="E53" s="35"/>
      <c r="H53" s="8"/>
      <c r="I53" s="8"/>
    </row>
    <row r="54" spans="1:12" x14ac:dyDescent="0.3">
      <c r="A54" s="29" t="s">
        <v>51</v>
      </c>
      <c r="B54" s="29"/>
      <c r="C54" s="29"/>
      <c r="D54" s="37">
        <f>D36/F16</f>
        <v>5.9045751633986926E-2</v>
      </c>
      <c r="E54" s="37"/>
      <c r="H54" s="8"/>
      <c r="I54" s="8"/>
    </row>
    <row r="55" spans="1:12" x14ac:dyDescent="0.3">
      <c r="A55" s="29" t="s">
        <v>50</v>
      </c>
      <c r="B55" s="29"/>
      <c r="C55" s="29"/>
      <c r="D55" s="37">
        <f>D36/(F23+F24)</f>
        <v>0.13065769967820082</v>
      </c>
      <c r="E55" s="37"/>
      <c r="H55" s="8"/>
      <c r="I55" s="8"/>
    </row>
    <row r="56" spans="1:12" x14ac:dyDescent="0.3">
      <c r="A56" s="29" t="s">
        <v>49</v>
      </c>
      <c r="B56" s="29"/>
      <c r="C56" s="29"/>
      <c r="D56" s="37">
        <f>D36/D30</f>
        <v>2.5269930069930072E-2</v>
      </c>
      <c r="E56" s="37"/>
      <c r="H56" s="8"/>
      <c r="I56" s="8"/>
    </row>
    <row r="57" spans="1:12" x14ac:dyDescent="0.3">
      <c r="A57" s="29" t="s">
        <v>48</v>
      </c>
      <c r="B57" s="29"/>
      <c r="C57" s="29"/>
      <c r="D57" s="37">
        <f>F22/F16</f>
        <v>0.22020152505446622</v>
      </c>
      <c r="E57" s="37"/>
      <c r="H57" s="8"/>
      <c r="I57" s="8"/>
    </row>
    <row r="58" spans="1:12" x14ac:dyDescent="0.3">
      <c r="A58" s="29" t="s">
        <v>47</v>
      </c>
      <c r="B58" s="29"/>
      <c r="C58" s="29"/>
      <c r="D58" s="37">
        <f>(F21+F22)/F16</f>
        <v>0.54808823529411765</v>
      </c>
      <c r="E58" s="37"/>
      <c r="H58" s="8"/>
      <c r="I58" s="8"/>
    </row>
    <row r="59" spans="1:12" x14ac:dyDescent="0.3">
      <c r="A59" s="29" t="s">
        <v>37</v>
      </c>
      <c r="B59" s="29"/>
      <c r="C59" s="29"/>
      <c r="D59" s="35">
        <f>D41/D42</f>
        <v>4.9578947368421051</v>
      </c>
      <c r="E59" s="35"/>
      <c r="H59" s="8"/>
      <c r="I59" s="8"/>
    </row>
    <row r="60" spans="1:12" x14ac:dyDescent="0.3">
      <c r="A60" s="29" t="s">
        <v>46</v>
      </c>
      <c r="B60" s="29"/>
      <c r="C60" s="29"/>
      <c r="D60" s="35">
        <f>D44/D41</f>
        <v>5.004246284501062</v>
      </c>
      <c r="E60" s="35"/>
      <c r="H60" s="8"/>
      <c r="I60" s="8"/>
    </row>
    <row r="61" spans="1:12" x14ac:dyDescent="0.3">
      <c r="A61" s="29" t="s">
        <v>45</v>
      </c>
      <c r="B61" s="29"/>
      <c r="C61" s="29"/>
      <c r="D61" s="35">
        <f>(F16-F22-F21)/D45</f>
        <v>3.6074347826086957</v>
      </c>
      <c r="E61" s="35"/>
    </row>
    <row r="62" spans="1:12" x14ac:dyDescent="0.3">
      <c r="A62" s="29"/>
      <c r="B62" s="29"/>
      <c r="C62" s="29"/>
    </row>
    <row r="63" spans="1:12" x14ac:dyDescent="0.3">
      <c r="A63" s="9" t="s">
        <v>53</v>
      </c>
      <c r="B63" s="9"/>
    </row>
    <row r="64" spans="1:12" x14ac:dyDescent="0.3">
      <c r="A64" t="s">
        <v>54</v>
      </c>
    </row>
    <row r="65" spans="1:1" x14ac:dyDescent="0.3">
      <c r="A65" t="s">
        <v>55</v>
      </c>
    </row>
    <row r="66" spans="1:1" x14ac:dyDescent="0.3">
      <c r="A66" t="s">
        <v>56</v>
      </c>
    </row>
  </sheetData>
  <mergeCells count="94">
    <mergeCell ref="D61:E61"/>
    <mergeCell ref="A37:C37"/>
    <mergeCell ref="J51:L51"/>
    <mergeCell ref="A47:H47"/>
    <mergeCell ref="D55:E55"/>
    <mergeCell ref="D56:E56"/>
    <mergeCell ref="D57:E57"/>
    <mergeCell ref="D58:E58"/>
    <mergeCell ref="D59:E59"/>
    <mergeCell ref="D60:E60"/>
    <mergeCell ref="D49:E49"/>
    <mergeCell ref="D50:E50"/>
    <mergeCell ref="D51:E51"/>
    <mergeCell ref="D52:E52"/>
    <mergeCell ref="D53:E53"/>
    <mergeCell ref="D54:E54"/>
    <mergeCell ref="A60:C60"/>
    <mergeCell ref="A61:C61"/>
    <mergeCell ref="A62:C62"/>
    <mergeCell ref="D41:E41"/>
    <mergeCell ref="D42:E42"/>
    <mergeCell ref="D43:E43"/>
    <mergeCell ref="D44:E44"/>
    <mergeCell ref="D45:E45"/>
    <mergeCell ref="D48:E48"/>
    <mergeCell ref="A54:C54"/>
    <mergeCell ref="A55:C55"/>
    <mergeCell ref="A56:C56"/>
    <mergeCell ref="A57:C57"/>
    <mergeCell ref="A58:C58"/>
    <mergeCell ref="A59:C59"/>
    <mergeCell ref="A53:C53"/>
    <mergeCell ref="A41:C41"/>
    <mergeCell ref="A42:C42"/>
    <mergeCell ref="A43:C43"/>
    <mergeCell ref="A44:C44"/>
    <mergeCell ref="A45:C45"/>
    <mergeCell ref="A48:C48"/>
    <mergeCell ref="A49:C49"/>
    <mergeCell ref="A50:C50"/>
    <mergeCell ref="A51:C51"/>
    <mergeCell ref="A52:C52"/>
    <mergeCell ref="K39:L39"/>
    <mergeCell ref="D29:E29"/>
    <mergeCell ref="D31:E31"/>
    <mergeCell ref="D32:E32"/>
    <mergeCell ref="D33:E33"/>
    <mergeCell ref="D34:E34"/>
    <mergeCell ref="D30:E30"/>
    <mergeCell ref="D35:E35"/>
    <mergeCell ref="D36:E36"/>
    <mergeCell ref="D37:E37"/>
    <mergeCell ref="K38:L38"/>
    <mergeCell ref="F11:H11"/>
    <mergeCell ref="F10:H10"/>
    <mergeCell ref="F12:H12"/>
    <mergeCell ref="A36:C36"/>
    <mergeCell ref="F18:H18"/>
    <mergeCell ref="F19:H19"/>
    <mergeCell ref="F20:H20"/>
    <mergeCell ref="F21:H21"/>
    <mergeCell ref="F22:H22"/>
    <mergeCell ref="F23:H23"/>
    <mergeCell ref="C20:E20"/>
    <mergeCell ref="C19:E19"/>
    <mergeCell ref="C21:E21"/>
    <mergeCell ref="F13:H13"/>
    <mergeCell ref="F14:H14"/>
    <mergeCell ref="F15:H15"/>
    <mergeCell ref="F16:H16"/>
    <mergeCell ref="F17:H17"/>
    <mergeCell ref="C15:E15"/>
    <mergeCell ref="C10:E10"/>
    <mergeCell ref="A34:C34"/>
    <mergeCell ref="C22:E22"/>
    <mergeCell ref="C23:E23"/>
    <mergeCell ref="C24:E24"/>
    <mergeCell ref="C25:E25"/>
    <mergeCell ref="H26:J26"/>
    <mergeCell ref="H27:J27"/>
    <mergeCell ref="F24:H24"/>
    <mergeCell ref="F25:H25"/>
    <mergeCell ref="C11:E11"/>
    <mergeCell ref="C12:E12"/>
    <mergeCell ref="C13:E13"/>
    <mergeCell ref="C14:E14"/>
    <mergeCell ref="C16:E16"/>
    <mergeCell ref="C17:E17"/>
    <mergeCell ref="C18:E18"/>
    <mergeCell ref="A35:C35"/>
    <mergeCell ref="A30:C30"/>
    <mergeCell ref="A31:C31"/>
    <mergeCell ref="A32:C32"/>
    <mergeCell ref="A33:C33"/>
  </mergeCells>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43"/>
  <sheetViews>
    <sheetView tabSelected="1" zoomScale="70" zoomScaleNormal="70" workbookViewId="0">
      <selection activeCell="M233" sqref="M233"/>
    </sheetView>
  </sheetViews>
  <sheetFormatPr defaultRowHeight="14.4" x14ac:dyDescent="0.3"/>
  <cols>
    <col min="3" max="3" width="12.88671875" customWidth="1"/>
    <col min="4" max="9" width="13.33203125" customWidth="1"/>
  </cols>
  <sheetData>
    <row r="2" spans="1:4" x14ac:dyDescent="0.3">
      <c r="A2" s="3" t="s">
        <v>58</v>
      </c>
    </row>
    <row r="3" spans="1:4" ht="15.6" x14ac:dyDescent="0.3">
      <c r="A3" s="10" t="s">
        <v>59</v>
      </c>
    </row>
    <row r="4" spans="1:4" x14ac:dyDescent="0.3">
      <c r="A4" s="3" t="s">
        <v>60</v>
      </c>
      <c r="B4" s="3"/>
      <c r="C4" s="3"/>
      <c r="D4" s="3"/>
    </row>
    <row r="5" spans="1:4" x14ac:dyDescent="0.3">
      <c r="A5" s="12" t="s">
        <v>62</v>
      </c>
    </row>
    <row r="6" spans="1:4" x14ac:dyDescent="0.3">
      <c r="A6" s="12" t="s">
        <v>63</v>
      </c>
    </row>
    <row r="8" spans="1:4" x14ac:dyDescent="0.3">
      <c r="A8" s="3" t="s">
        <v>65</v>
      </c>
    </row>
    <row r="9" spans="1:4" x14ac:dyDescent="0.3">
      <c r="B9" s="16" t="s">
        <v>64</v>
      </c>
    </row>
    <row r="10" spans="1:4" x14ac:dyDescent="0.3">
      <c r="A10" t="s">
        <v>66</v>
      </c>
      <c r="B10">
        <v>0</v>
      </c>
      <c r="C10">
        <v>1</v>
      </c>
      <c r="D10">
        <v>2</v>
      </c>
    </row>
    <row r="11" spans="1:4" x14ac:dyDescent="0.3">
      <c r="A11" t="s">
        <v>61</v>
      </c>
      <c r="D11">
        <v>100</v>
      </c>
    </row>
    <row r="12" spans="1:4" x14ac:dyDescent="0.3">
      <c r="A12" t="s">
        <v>67</v>
      </c>
    </row>
    <row r="13" spans="1:4" x14ac:dyDescent="0.3">
      <c r="B13" s="16" t="s">
        <v>64</v>
      </c>
    </row>
    <row r="14" spans="1:4" x14ac:dyDescent="0.3">
      <c r="A14" t="s">
        <v>68</v>
      </c>
      <c r="B14">
        <v>0</v>
      </c>
      <c r="C14">
        <v>1</v>
      </c>
      <c r="D14">
        <v>2</v>
      </c>
    </row>
    <row r="15" spans="1:4" x14ac:dyDescent="0.3">
      <c r="A15" t="s">
        <v>61</v>
      </c>
      <c r="B15">
        <v>100</v>
      </c>
      <c r="C15">
        <v>100</v>
      </c>
      <c r="D15">
        <v>100</v>
      </c>
    </row>
    <row r="17" spans="1:5" x14ac:dyDescent="0.3">
      <c r="A17" t="s">
        <v>69</v>
      </c>
    </row>
    <row r="18" spans="1:5" x14ac:dyDescent="0.3">
      <c r="B18" s="16" t="s">
        <v>64</v>
      </c>
    </row>
    <row r="19" spans="1:5" x14ac:dyDescent="0.3">
      <c r="A19" t="s">
        <v>68</v>
      </c>
      <c r="B19">
        <v>0</v>
      </c>
      <c r="C19">
        <v>1</v>
      </c>
      <c r="D19">
        <v>2</v>
      </c>
      <c r="E19">
        <v>3</v>
      </c>
    </row>
    <row r="20" spans="1:5" x14ac:dyDescent="0.3">
      <c r="A20" t="s">
        <v>61</v>
      </c>
      <c r="B20">
        <v>-50</v>
      </c>
      <c r="C20" s="16">
        <v>100</v>
      </c>
      <c r="D20">
        <v>75</v>
      </c>
      <c r="E20">
        <v>50</v>
      </c>
    </row>
    <row r="22" spans="1:5" x14ac:dyDescent="0.3">
      <c r="A22" s="12" t="s">
        <v>70</v>
      </c>
    </row>
    <row r="23" spans="1:5" x14ac:dyDescent="0.3">
      <c r="A23" t="s">
        <v>72</v>
      </c>
      <c r="B23" s="14">
        <v>0.1</v>
      </c>
    </row>
    <row r="24" spans="1:5" x14ac:dyDescent="0.3">
      <c r="A24" t="s">
        <v>73</v>
      </c>
      <c r="B24">
        <v>100</v>
      </c>
    </row>
    <row r="26" spans="1:5" x14ac:dyDescent="0.3">
      <c r="A26" t="s">
        <v>71</v>
      </c>
      <c r="B26">
        <v>0</v>
      </c>
      <c r="C26">
        <v>1</v>
      </c>
      <c r="D26">
        <v>2</v>
      </c>
      <c r="E26">
        <v>3</v>
      </c>
    </row>
    <row r="27" spans="1:5" x14ac:dyDescent="0.3">
      <c r="A27" t="s">
        <v>61</v>
      </c>
      <c r="B27" s="11">
        <f>B24*(1+B23)^B26</f>
        <v>100</v>
      </c>
      <c r="C27">
        <f>B24*(1+B23)^C26</f>
        <v>110.00000000000001</v>
      </c>
      <c r="D27">
        <f>B24*(1+B23)^D26</f>
        <v>121.00000000000001</v>
      </c>
      <c r="E27" s="9">
        <f>B24*(1+B23)^E26</f>
        <v>133.10000000000005</v>
      </c>
    </row>
    <row r="28" spans="1:5" x14ac:dyDescent="0.3">
      <c r="B28" s="11"/>
      <c r="E28" s="9"/>
    </row>
    <row r="30" spans="1:5" x14ac:dyDescent="0.3">
      <c r="A30" s="12" t="s">
        <v>74</v>
      </c>
    </row>
    <row r="31" spans="1:5" x14ac:dyDescent="0.3">
      <c r="B31" t="s">
        <v>75</v>
      </c>
      <c r="D31">
        <v>0.1</v>
      </c>
    </row>
    <row r="32" spans="1:5" x14ac:dyDescent="0.3">
      <c r="B32" t="s">
        <v>76</v>
      </c>
      <c r="D32">
        <v>100</v>
      </c>
    </row>
    <row r="34" spans="1:5" x14ac:dyDescent="0.3">
      <c r="C34" t="s">
        <v>77</v>
      </c>
    </row>
    <row r="35" spans="1:5" x14ac:dyDescent="0.3">
      <c r="A35" t="s">
        <v>78</v>
      </c>
      <c r="B35">
        <v>0</v>
      </c>
      <c r="C35">
        <v>1</v>
      </c>
      <c r="D35">
        <v>2</v>
      </c>
      <c r="E35">
        <v>3</v>
      </c>
    </row>
    <row r="36" spans="1:5" x14ac:dyDescent="0.3">
      <c r="A36" t="s">
        <v>79</v>
      </c>
      <c r="B36" s="9">
        <f>100/(D31+1)^E35</f>
        <v>75.131480090157751</v>
      </c>
      <c r="C36">
        <f>D32/(1+D31)^D35</f>
        <v>82.644628099173545</v>
      </c>
      <c r="D36">
        <f>100/(1+D31)^C35</f>
        <v>90.909090909090907</v>
      </c>
      <c r="E36">
        <f>D32/(1+D31)^B35</f>
        <v>100</v>
      </c>
    </row>
    <row r="37" spans="1:5" x14ac:dyDescent="0.3">
      <c r="B37" s="20"/>
    </row>
    <row r="38" spans="1:5" x14ac:dyDescent="0.3">
      <c r="A38" t="s">
        <v>103</v>
      </c>
      <c r="B38" s="13">
        <f>PV(D31,3,0,-D32)</f>
        <v>75.131480090157751</v>
      </c>
    </row>
    <row r="39" spans="1:5" x14ac:dyDescent="0.3">
      <c r="A39" s="12" t="s">
        <v>80</v>
      </c>
    </row>
    <row r="40" spans="1:5" x14ac:dyDescent="0.3">
      <c r="A40" t="s">
        <v>75</v>
      </c>
      <c r="C40">
        <v>0.2</v>
      </c>
    </row>
    <row r="42" spans="1:5" x14ac:dyDescent="0.3">
      <c r="A42" t="s">
        <v>68</v>
      </c>
      <c r="B42">
        <v>0</v>
      </c>
    </row>
    <row r="43" spans="1:5" x14ac:dyDescent="0.3">
      <c r="A43" t="s">
        <v>79</v>
      </c>
      <c r="B43">
        <v>-1</v>
      </c>
    </row>
    <row r="44" spans="1:5" x14ac:dyDescent="0.3">
      <c r="A44" t="s">
        <v>61</v>
      </c>
      <c r="B44" s="15">
        <v>2</v>
      </c>
    </row>
    <row r="46" spans="1:5" x14ac:dyDescent="0.3">
      <c r="A46" t="s">
        <v>81</v>
      </c>
      <c r="C46" s="17">
        <f>NPER(C40,B42,B43,B44)</f>
        <v>3.8017840169239308</v>
      </c>
    </row>
    <row r="48" spans="1:5" x14ac:dyDescent="0.3">
      <c r="A48" s="12" t="s">
        <v>82</v>
      </c>
    </row>
    <row r="50" spans="1:3" x14ac:dyDescent="0.3">
      <c r="A50" t="s">
        <v>86</v>
      </c>
      <c r="C50">
        <v>3</v>
      </c>
    </row>
    <row r="51" spans="1:3" x14ac:dyDescent="0.3">
      <c r="A51" t="s">
        <v>84</v>
      </c>
      <c r="C51">
        <v>-1</v>
      </c>
    </row>
    <row r="52" spans="1:3" x14ac:dyDescent="0.3">
      <c r="A52" t="s">
        <v>85</v>
      </c>
      <c r="C52">
        <v>2</v>
      </c>
    </row>
    <row r="53" spans="1:3" x14ac:dyDescent="0.3">
      <c r="A53" t="s">
        <v>87</v>
      </c>
      <c r="C53" s="18">
        <f>RATE(C50,0,C51,C52)</f>
        <v>0.25992104989487319</v>
      </c>
    </row>
    <row r="55" spans="1:3" x14ac:dyDescent="0.3">
      <c r="A55" s="12" t="s">
        <v>88</v>
      </c>
    </row>
    <row r="57" spans="1:3" x14ac:dyDescent="0.3">
      <c r="A57" t="s">
        <v>89</v>
      </c>
    </row>
    <row r="58" spans="1:3" x14ac:dyDescent="0.3">
      <c r="A58" t="s">
        <v>90</v>
      </c>
    </row>
    <row r="60" spans="1:3" x14ac:dyDescent="0.3">
      <c r="A60" t="s">
        <v>91</v>
      </c>
    </row>
    <row r="62" spans="1:3" x14ac:dyDescent="0.3">
      <c r="A62" s="12" t="s">
        <v>92</v>
      </c>
    </row>
    <row r="64" spans="1:3" x14ac:dyDescent="0.3">
      <c r="B64" t="s">
        <v>93</v>
      </c>
      <c r="C64">
        <v>0.1</v>
      </c>
    </row>
    <row r="65" spans="1:3" x14ac:dyDescent="0.3">
      <c r="B65" t="s">
        <v>83</v>
      </c>
      <c r="C65">
        <v>3</v>
      </c>
    </row>
    <row r="66" spans="1:3" x14ac:dyDescent="0.3">
      <c r="B66" t="s">
        <v>94</v>
      </c>
      <c r="C66">
        <v>-100</v>
      </c>
    </row>
    <row r="68" spans="1:3" x14ac:dyDescent="0.3">
      <c r="B68" t="s">
        <v>95</v>
      </c>
      <c r="C68" s="13">
        <f>FV(C64,C65,C66)</f>
        <v>331.0000000000004</v>
      </c>
    </row>
    <row r="70" spans="1:3" x14ac:dyDescent="0.3">
      <c r="A70" s="12" t="s">
        <v>96</v>
      </c>
    </row>
    <row r="72" spans="1:3" x14ac:dyDescent="0.3">
      <c r="B72" t="s">
        <v>93</v>
      </c>
      <c r="C72">
        <v>0.1</v>
      </c>
    </row>
    <row r="73" spans="1:3" x14ac:dyDescent="0.3">
      <c r="B73" t="s">
        <v>83</v>
      </c>
      <c r="C73">
        <v>3</v>
      </c>
    </row>
    <row r="74" spans="1:3" x14ac:dyDescent="0.3">
      <c r="B74" t="s">
        <v>94</v>
      </c>
      <c r="C74">
        <v>-100</v>
      </c>
    </row>
    <row r="76" spans="1:3" x14ac:dyDescent="0.3">
      <c r="A76" t="s">
        <v>97</v>
      </c>
      <c r="C76" s="19">
        <f>PV(C72,C73,C74)</f>
        <v>248.68519909842246</v>
      </c>
    </row>
    <row r="78" spans="1:3" x14ac:dyDescent="0.3">
      <c r="A78" s="3" t="s">
        <v>98</v>
      </c>
    </row>
    <row r="79" spans="1:3" x14ac:dyDescent="0.3">
      <c r="A79" t="s">
        <v>99</v>
      </c>
      <c r="C79">
        <v>3</v>
      </c>
    </row>
    <row r="80" spans="1:3" x14ac:dyDescent="0.3">
      <c r="A80" t="s">
        <v>75</v>
      </c>
      <c r="C80">
        <v>0.1</v>
      </c>
    </row>
    <row r="81" spans="1:4" x14ac:dyDescent="0.3">
      <c r="A81" t="s">
        <v>100</v>
      </c>
      <c r="C81">
        <v>100</v>
      </c>
    </row>
    <row r="82" spans="1:4" x14ac:dyDescent="0.3">
      <c r="A82" t="s">
        <v>101</v>
      </c>
      <c r="C82" s="13">
        <f>FV(C80,C79,-C81,0,1)</f>
        <v>364.10000000000048</v>
      </c>
    </row>
    <row r="84" spans="1:4" x14ac:dyDescent="0.3">
      <c r="A84" s="12" t="s">
        <v>102</v>
      </c>
    </row>
    <row r="85" spans="1:4" x14ac:dyDescent="0.3">
      <c r="B85" t="s">
        <v>106</v>
      </c>
      <c r="D85">
        <v>0.1</v>
      </c>
    </row>
    <row r="86" spans="1:4" x14ac:dyDescent="0.3">
      <c r="B86" t="s">
        <v>104</v>
      </c>
      <c r="C86" t="s">
        <v>105</v>
      </c>
      <c r="D86" t="s">
        <v>79</v>
      </c>
    </row>
    <row r="87" spans="1:4" x14ac:dyDescent="0.3">
      <c r="B87">
        <v>0</v>
      </c>
      <c r="C87">
        <v>0</v>
      </c>
      <c r="D87">
        <f>0*(1+D85)^B87</f>
        <v>0</v>
      </c>
    </row>
    <row r="88" spans="1:4" x14ac:dyDescent="0.3">
      <c r="B88">
        <v>1</v>
      </c>
      <c r="C88">
        <v>100</v>
      </c>
      <c r="D88">
        <f>C88/(1+D85)^B88</f>
        <v>90.909090909090907</v>
      </c>
    </row>
    <row r="89" spans="1:4" x14ac:dyDescent="0.3">
      <c r="B89">
        <v>2</v>
      </c>
      <c r="C89">
        <v>300</v>
      </c>
      <c r="D89">
        <f>C89/(1+D85)^B89</f>
        <v>247.93388429752062</v>
      </c>
    </row>
    <row r="90" spans="1:4" x14ac:dyDescent="0.3">
      <c r="B90">
        <v>3</v>
      </c>
      <c r="C90">
        <v>300</v>
      </c>
      <c r="D90">
        <f>C90/(1+D85)^B90</f>
        <v>225.39444027047327</v>
      </c>
    </row>
    <row r="91" spans="1:4" x14ac:dyDescent="0.3">
      <c r="B91">
        <v>4</v>
      </c>
      <c r="C91">
        <v>-50</v>
      </c>
      <c r="D91">
        <f>C91/(1+D85)^B91</f>
        <v>-34.150672768253528</v>
      </c>
    </row>
    <row r="92" spans="1:4" x14ac:dyDescent="0.3">
      <c r="A92" t="s">
        <v>107</v>
      </c>
      <c r="D92" s="9">
        <f>SUM(D87:D91)</f>
        <v>530.08674270883125</v>
      </c>
    </row>
    <row r="94" spans="1:4" x14ac:dyDescent="0.3">
      <c r="B94" t="s">
        <v>108</v>
      </c>
      <c r="D94" s="19">
        <f>NPV(D85,C88:C91)</f>
        <v>530.08674270883125</v>
      </c>
    </row>
    <row r="97" spans="1:3" x14ac:dyDescent="0.3">
      <c r="A97" s="12" t="s">
        <v>109</v>
      </c>
    </row>
    <row r="99" spans="1:3" x14ac:dyDescent="0.3">
      <c r="A99" s="20" t="s">
        <v>111</v>
      </c>
    </row>
    <row r="102" spans="1:3" x14ac:dyDescent="0.3">
      <c r="A102" s="12" t="s">
        <v>110</v>
      </c>
    </row>
    <row r="104" spans="1:3" x14ac:dyDescent="0.3">
      <c r="A104" t="s">
        <v>112</v>
      </c>
    </row>
    <row r="106" spans="1:3" x14ac:dyDescent="0.3">
      <c r="A106" s="12" t="s">
        <v>113</v>
      </c>
    </row>
    <row r="107" spans="1:3" x14ac:dyDescent="0.3">
      <c r="B107" s="22" t="s">
        <v>117</v>
      </c>
    </row>
    <row r="108" spans="1:3" x14ac:dyDescent="0.3">
      <c r="B108" t="s">
        <v>114</v>
      </c>
      <c r="C108">
        <v>5</v>
      </c>
    </row>
    <row r="109" spans="1:3" x14ac:dyDescent="0.3">
      <c r="B109" t="s">
        <v>115</v>
      </c>
      <c r="C109">
        <v>0.12</v>
      </c>
    </row>
    <row r="110" spans="1:3" x14ac:dyDescent="0.3">
      <c r="B110" t="s">
        <v>116</v>
      </c>
      <c r="C110">
        <v>100</v>
      </c>
    </row>
    <row r="111" spans="1:3" x14ac:dyDescent="0.3">
      <c r="B111" t="s">
        <v>118</v>
      </c>
      <c r="C111" s="19">
        <f>FV(C109,C108,0,-C110)</f>
        <v>176.23416832000004</v>
      </c>
    </row>
    <row r="113" spans="1:3" x14ac:dyDescent="0.3">
      <c r="A113" s="22" t="s">
        <v>119</v>
      </c>
    </row>
    <row r="115" spans="1:3" x14ac:dyDescent="0.3">
      <c r="B115" t="s">
        <v>114</v>
      </c>
      <c r="C115">
        <v>10</v>
      </c>
    </row>
    <row r="116" spans="1:3" x14ac:dyDescent="0.3">
      <c r="B116" t="s">
        <v>115</v>
      </c>
      <c r="C116">
        <v>0.06</v>
      </c>
    </row>
    <row r="117" spans="1:3" x14ac:dyDescent="0.3">
      <c r="B117" t="s">
        <v>116</v>
      </c>
      <c r="C117">
        <v>100</v>
      </c>
    </row>
    <row r="118" spans="1:3" x14ac:dyDescent="0.3">
      <c r="B118" t="s">
        <v>118</v>
      </c>
      <c r="C118" s="9">
        <f>FV(C116,C115,0,-C117)</f>
        <v>179.08476965428545</v>
      </c>
    </row>
    <row r="120" spans="1:3" x14ac:dyDescent="0.3">
      <c r="A120" s="22" t="s">
        <v>120</v>
      </c>
    </row>
    <row r="121" spans="1:3" x14ac:dyDescent="0.3">
      <c r="B121" t="s">
        <v>114</v>
      </c>
      <c r="C121">
        <v>20</v>
      </c>
    </row>
    <row r="122" spans="1:3" x14ac:dyDescent="0.3">
      <c r="B122" t="s">
        <v>115</v>
      </c>
      <c r="C122">
        <v>0.03</v>
      </c>
    </row>
    <row r="123" spans="1:3" x14ac:dyDescent="0.3">
      <c r="B123" t="s">
        <v>116</v>
      </c>
      <c r="C123">
        <v>100</v>
      </c>
    </row>
    <row r="124" spans="1:3" x14ac:dyDescent="0.3">
      <c r="B124" t="s">
        <v>118</v>
      </c>
      <c r="C124" s="9">
        <f>FV(C122,C121,0,-C123)</f>
        <v>180.61112346694134</v>
      </c>
    </row>
    <row r="126" spans="1:3" x14ac:dyDescent="0.3">
      <c r="A126" s="22" t="s">
        <v>121</v>
      </c>
    </row>
    <row r="128" spans="1:3" x14ac:dyDescent="0.3">
      <c r="B128" t="s">
        <v>114</v>
      </c>
      <c r="C128">
        <v>60</v>
      </c>
    </row>
    <row r="129" spans="1:7" x14ac:dyDescent="0.3">
      <c r="B129" t="s">
        <v>115</v>
      </c>
      <c r="C129">
        <v>0.01</v>
      </c>
    </row>
    <row r="130" spans="1:7" x14ac:dyDescent="0.3">
      <c r="B130" t="s">
        <v>116</v>
      </c>
      <c r="C130">
        <v>100</v>
      </c>
    </row>
    <row r="131" spans="1:7" x14ac:dyDescent="0.3">
      <c r="B131" t="s">
        <v>118</v>
      </c>
      <c r="C131" s="9">
        <f>FV(C129,C128,0,-C130)</f>
        <v>181.66966985640914</v>
      </c>
    </row>
    <row r="133" spans="1:7" x14ac:dyDescent="0.3">
      <c r="A133" s="22" t="s">
        <v>122</v>
      </c>
    </row>
    <row r="134" spans="1:7" x14ac:dyDescent="0.3">
      <c r="B134" t="s">
        <v>114</v>
      </c>
      <c r="C134">
        <f>5*365</f>
        <v>1825</v>
      </c>
    </row>
    <row r="135" spans="1:7" x14ac:dyDescent="0.3">
      <c r="B135" t="s">
        <v>115</v>
      </c>
      <c r="C135">
        <f>0.12/365</f>
        <v>3.2876712328767124E-4</v>
      </c>
    </row>
    <row r="136" spans="1:7" x14ac:dyDescent="0.3">
      <c r="B136" t="s">
        <v>116</v>
      </c>
      <c r="C136">
        <v>100</v>
      </c>
    </row>
    <row r="137" spans="1:7" x14ac:dyDescent="0.3">
      <c r="B137" t="s">
        <v>118</v>
      </c>
      <c r="C137" s="9">
        <f>FV(C135,C134,0,-C136)</f>
        <v>182.19391328021405</v>
      </c>
    </row>
    <row r="139" spans="1:7" x14ac:dyDescent="0.3">
      <c r="A139" s="12" t="s">
        <v>123</v>
      </c>
    </row>
    <row r="141" spans="1:7" x14ac:dyDescent="0.3">
      <c r="A141" t="s">
        <v>124</v>
      </c>
    </row>
    <row r="142" spans="1:7" x14ac:dyDescent="0.3">
      <c r="C142" t="s">
        <v>126</v>
      </c>
      <c r="E142" s="14">
        <v>0.12</v>
      </c>
    </row>
    <row r="143" spans="1:7" x14ac:dyDescent="0.3">
      <c r="A143" s="22" t="s">
        <v>125</v>
      </c>
      <c r="G143" s="9">
        <f>(1+(E142/2)^(2-1))</f>
        <v>1.06</v>
      </c>
    </row>
    <row r="145" spans="1:4" x14ac:dyDescent="0.3">
      <c r="A145" s="22" t="s">
        <v>127</v>
      </c>
      <c r="D145" s="9">
        <f>(1+(E142/4))^3</f>
        <v>1.092727</v>
      </c>
    </row>
    <row r="147" spans="1:4" x14ac:dyDescent="0.3">
      <c r="A147" s="22" t="s">
        <v>128</v>
      </c>
      <c r="D147" s="9">
        <f>(1+(E142/12))^11</f>
        <v>1.1156683466653166</v>
      </c>
    </row>
    <row r="149" spans="1:4" x14ac:dyDescent="0.3">
      <c r="A149" s="22" t="s">
        <v>129</v>
      </c>
      <c r="D149" s="9">
        <f>(1+(E142/365))^364</f>
        <v>1.1271040608786538</v>
      </c>
    </row>
    <row r="151" spans="1:4" x14ac:dyDescent="0.3">
      <c r="A151" s="12" t="s">
        <v>130</v>
      </c>
    </row>
    <row r="153" spans="1:4" x14ac:dyDescent="0.3">
      <c r="A153" t="s">
        <v>131</v>
      </c>
    </row>
    <row r="156" spans="1:4" x14ac:dyDescent="0.3">
      <c r="A156" s="12" t="s">
        <v>132</v>
      </c>
    </row>
    <row r="158" spans="1:4" x14ac:dyDescent="0.3">
      <c r="B158" t="s">
        <v>99</v>
      </c>
      <c r="C158">
        <v>3</v>
      </c>
    </row>
    <row r="159" spans="1:4" x14ac:dyDescent="0.3">
      <c r="B159" t="s">
        <v>133</v>
      </c>
      <c r="C159">
        <v>0.1</v>
      </c>
    </row>
    <row r="160" spans="1:4" x14ac:dyDescent="0.3">
      <c r="B160" t="s">
        <v>84</v>
      </c>
      <c r="C160">
        <v>1000</v>
      </c>
    </row>
    <row r="161" spans="1:8" x14ac:dyDescent="0.3">
      <c r="B161" t="s">
        <v>94</v>
      </c>
      <c r="C161" s="11">
        <f>PMT(C159,C158,-C160)</f>
        <v>402.11480362537776</v>
      </c>
    </row>
    <row r="163" spans="1:8" x14ac:dyDescent="0.3">
      <c r="D163" t="s">
        <v>139</v>
      </c>
    </row>
    <row r="164" spans="1:8" x14ac:dyDescent="0.3">
      <c r="C164" t="s">
        <v>83</v>
      </c>
      <c r="D164" t="s">
        <v>134</v>
      </c>
      <c r="E164" t="s">
        <v>135</v>
      </c>
      <c r="F164" t="s">
        <v>136</v>
      </c>
      <c r="G164" t="s">
        <v>137</v>
      </c>
      <c r="H164" t="s">
        <v>138</v>
      </c>
    </row>
    <row r="165" spans="1:8" x14ac:dyDescent="0.3">
      <c r="C165">
        <v>1</v>
      </c>
      <c r="D165" s="21">
        <v>1000</v>
      </c>
      <c r="E165" s="21">
        <f t="shared" ref="E165" si="0">PMT(C159,C158,-C160)</f>
        <v>402.11480362537776</v>
      </c>
      <c r="F165" s="21">
        <f>Table1[[#This Row],[Beging Amount]]*C159</f>
        <v>100</v>
      </c>
      <c r="G165" s="21">
        <f>Table1[[#This Row],[payment]]-Table1[[#This Row],[Interest]]</f>
        <v>302.11480362537776</v>
      </c>
      <c r="H165" s="21">
        <f>Table1[[#This Row],[Beging Amount]]-Table1[[#This Row],[Principal]]</f>
        <v>697.88519637462218</v>
      </c>
    </row>
    <row r="166" spans="1:8" x14ac:dyDescent="0.3">
      <c r="C166">
        <v>2</v>
      </c>
      <c r="D166" s="21">
        <v>697.88519637462218</v>
      </c>
      <c r="E166" s="21">
        <v>402.11480362537776</v>
      </c>
      <c r="F166" s="21">
        <f>Table1[[#This Row],[Beging Amount]]*C159</f>
        <v>69.788519637462215</v>
      </c>
      <c r="G166" s="21">
        <f>Table1[[#This Row],[payment]]-Table1[[#This Row],[Interest]]</f>
        <v>332.32628398791553</v>
      </c>
      <c r="H166" s="21">
        <f>Table1[[#This Row],[Beging Amount]]-Table1[[#This Row],[Principal]]</f>
        <v>365.55891238670665</v>
      </c>
    </row>
    <row r="167" spans="1:8" x14ac:dyDescent="0.3">
      <c r="C167">
        <v>3</v>
      </c>
      <c r="D167" s="21">
        <v>365.55891238670665</v>
      </c>
      <c r="E167" s="21">
        <v>402.11480362537776</v>
      </c>
      <c r="F167" s="21">
        <f>Table1[[#This Row],[Beging Amount]]*C159</f>
        <v>36.555891238670668</v>
      </c>
      <c r="G167" s="21">
        <f>Table1[[#This Row],[payment]]-Table1[[#This Row],[Interest]]</f>
        <v>365.55891238670711</v>
      </c>
      <c r="H167" s="21">
        <f>Table1[[#This Row],[Beging Amount]]-Table1[[#This Row],[Principal]]</f>
        <v>-4.5474735088646412E-13</v>
      </c>
    </row>
    <row r="168" spans="1:8" x14ac:dyDescent="0.3">
      <c r="E168" s="11"/>
    </row>
    <row r="170" spans="1:8" x14ac:dyDescent="0.3">
      <c r="A170" s="12" t="s">
        <v>140</v>
      </c>
    </row>
    <row r="172" spans="1:8" x14ac:dyDescent="0.3">
      <c r="A172" t="s">
        <v>141</v>
      </c>
      <c r="C172" s="9">
        <v>69.788519637462215</v>
      </c>
    </row>
    <row r="175" spans="1:8" x14ac:dyDescent="0.3">
      <c r="A175" s="12" t="s">
        <v>142</v>
      </c>
    </row>
    <row r="176" spans="1:8" x14ac:dyDescent="0.3">
      <c r="B176" t="s">
        <v>144</v>
      </c>
      <c r="D176" s="23">
        <v>0.1133463</v>
      </c>
    </row>
    <row r="177" spans="1:4" x14ac:dyDescent="0.3">
      <c r="B177" t="s">
        <v>143</v>
      </c>
      <c r="D177">
        <f>D176/365</f>
        <v>3.1053780821917805E-4</v>
      </c>
    </row>
    <row r="178" spans="1:4" x14ac:dyDescent="0.3">
      <c r="B178" t="s">
        <v>145</v>
      </c>
      <c r="D178">
        <v>273</v>
      </c>
    </row>
    <row r="179" spans="1:4" x14ac:dyDescent="0.3">
      <c r="B179" t="s">
        <v>84</v>
      </c>
      <c r="D179">
        <v>100</v>
      </c>
    </row>
    <row r="180" spans="1:4" x14ac:dyDescent="0.3">
      <c r="C180" t="s">
        <v>118</v>
      </c>
      <c r="D180" s="13">
        <f>FV(D177,D178,0,-D179)</f>
        <v>108.84597909775601</v>
      </c>
    </row>
    <row r="183" spans="1:4" x14ac:dyDescent="0.3">
      <c r="A183" s="12" t="s">
        <v>146</v>
      </c>
    </row>
    <row r="185" spans="1:4" x14ac:dyDescent="0.3">
      <c r="B185" t="s">
        <v>147</v>
      </c>
      <c r="D185">
        <v>0.1</v>
      </c>
    </row>
    <row r="186" spans="1:4" x14ac:dyDescent="0.3">
      <c r="B186" t="s">
        <v>148</v>
      </c>
      <c r="D186">
        <v>3</v>
      </c>
    </row>
    <row r="187" spans="1:4" x14ac:dyDescent="0.3">
      <c r="B187" t="s">
        <v>149</v>
      </c>
      <c r="D187" s="24">
        <v>0.05</v>
      </c>
    </row>
    <row r="188" spans="1:4" x14ac:dyDescent="0.3">
      <c r="B188" t="s">
        <v>150</v>
      </c>
      <c r="D188" s="25">
        <f>(1+(10%/2))^2-1</f>
        <v>0.10250000000000004</v>
      </c>
    </row>
    <row r="189" spans="1:4" x14ac:dyDescent="0.3">
      <c r="B189" t="s">
        <v>152</v>
      </c>
      <c r="D189">
        <v>100</v>
      </c>
    </row>
    <row r="190" spans="1:4" x14ac:dyDescent="0.3">
      <c r="B190" t="s">
        <v>151</v>
      </c>
      <c r="D190" s="13">
        <f>FV(D188,D186,0-D189)</f>
        <v>331.80062499999985</v>
      </c>
    </row>
    <row r="192" spans="1:4" x14ac:dyDescent="0.3">
      <c r="A192" s="12" t="s">
        <v>153</v>
      </c>
    </row>
    <row r="194" spans="1:4" x14ac:dyDescent="0.3">
      <c r="A194" t="s">
        <v>154</v>
      </c>
    </row>
    <row r="195" spans="1:4" x14ac:dyDescent="0.3">
      <c r="B195" t="s">
        <v>78</v>
      </c>
      <c r="C195" t="s">
        <v>103</v>
      </c>
    </row>
    <row r="196" spans="1:4" x14ac:dyDescent="0.3">
      <c r="B196">
        <v>0</v>
      </c>
      <c r="C196" s="15"/>
    </row>
    <row r="197" spans="1:4" x14ac:dyDescent="0.3">
      <c r="B197">
        <v>1</v>
      </c>
      <c r="C197" s="15"/>
    </row>
    <row r="198" spans="1:4" x14ac:dyDescent="0.3">
      <c r="B198">
        <v>2</v>
      </c>
      <c r="C198" s="27">
        <f>PV(D185,1,0,-D189)</f>
        <v>90.909090909090907</v>
      </c>
    </row>
    <row r="199" spans="1:4" x14ac:dyDescent="0.3">
      <c r="B199">
        <v>3</v>
      </c>
      <c r="C199" s="27"/>
    </row>
    <row r="200" spans="1:4" x14ac:dyDescent="0.3">
      <c r="B200">
        <v>4</v>
      </c>
      <c r="C200" s="27">
        <f>PV(D185,2,0,-D189)</f>
        <v>82.644628099173545</v>
      </c>
    </row>
    <row r="201" spans="1:4" x14ac:dyDescent="0.3">
      <c r="B201">
        <v>5</v>
      </c>
      <c r="C201" s="27"/>
    </row>
    <row r="202" spans="1:4" x14ac:dyDescent="0.3">
      <c r="B202">
        <v>6</v>
      </c>
      <c r="C202" s="27">
        <f>PV(D185,3,0,-D189)</f>
        <v>75.131480090157751</v>
      </c>
    </row>
    <row r="204" spans="1:4" x14ac:dyDescent="0.3">
      <c r="C204" s="26">
        <f>SUM(C198:C202)</f>
        <v>248.68519909842223</v>
      </c>
    </row>
    <row r="207" spans="1:4" x14ac:dyDescent="0.3">
      <c r="A207" t="s">
        <v>155</v>
      </c>
    </row>
    <row r="208" spans="1:4" x14ac:dyDescent="0.3">
      <c r="B208" t="s">
        <v>156</v>
      </c>
      <c r="D208" s="13">
        <f>PV(D188,D186,0-D189)</f>
        <v>247.59473498865586</v>
      </c>
    </row>
    <row r="210" spans="1:6" x14ac:dyDescent="0.3">
      <c r="A210" s="12" t="s">
        <v>157</v>
      </c>
    </row>
    <row r="211" spans="1:6" x14ac:dyDescent="0.3">
      <c r="A211" t="s">
        <v>158</v>
      </c>
    </row>
    <row r="214" spans="1:6" x14ac:dyDescent="0.3">
      <c r="A214" s="12" t="s">
        <v>159</v>
      </c>
    </row>
    <row r="216" spans="1:6" x14ac:dyDescent="0.3">
      <c r="A216" t="s">
        <v>160</v>
      </c>
    </row>
    <row r="218" spans="1:6" x14ac:dyDescent="0.3">
      <c r="A218" s="12" t="s">
        <v>161</v>
      </c>
    </row>
    <row r="219" spans="1:6" x14ac:dyDescent="0.3">
      <c r="A219" s="22" t="s">
        <v>162</v>
      </c>
    </row>
    <row r="220" spans="1:6" x14ac:dyDescent="0.3">
      <c r="C220" t="s">
        <v>103</v>
      </c>
      <c r="D220">
        <v>850</v>
      </c>
    </row>
    <row r="221" spans="1:6" x14ac:dyDescent="0.3">
      <c r="B221" t="s">
        <v>163</v>
      </c>
      <c r="D221" s="23">
        <v>6.76649E-2</v>
      </c>
    </row>
    <row r="222" spans="1:6" x14ac:dyDescent="0.3">
      <c r="B222" s="29" t="s">
        <v>143</v>
      </c>
      <c r="C222" s="29"/>
      <c r="D222">
        <f>D221/456</f>
        <v>1.4838793859649123E-4</v>
      </c>
    </row>
    <row r="223" spans="1:6" x14ac:dyDescent="0.3">
      <c r="B223" s="29" t="s">
        <v>99</v>
      </c>
      <c r="C223" s="29"/>
      <c r="D223" s="28">
        <f>365*(15/12)</f>
        <v>456.25</v>
      </c>
    </row>
    <row r="224" spans="1:6" x14ac:dyDescent="0.3">
      <c r="B224" s="29"/>
      <c r="C224" s="29"/>
      <c r="E224" s="13">
        <f>FV(D222,D223,0,-D220)</f>
        <v>909.53485809927713</v>
      </c>
      <c r="F224" s="5" t="s">
        <v>167</v>
      </c>
    </row>
    <row r="225" spans="1:5" x14ac:dyDescent="0.3">
      <c r="B225" s="29"/>
      <c r="C225" s="29"/>
    </row>
    <row r="226" spans="1:5" x14ac:dyDescent="0.3">
      <c r="C226" s="5"/>
    </row>
    <row r="227" spans="1:5" x14ac:dyDescent="0.3">
      <c r="A227" s="3" t="s">
        <v>164</v>
      </c>
      <c r="B227" s="5"/>
      <c r="C227" s="5"/>
    </row>
    <row r="228" spans="1:5" x14ac:dyDescent="0.3">
      <c r="B228" s="5"/>
      <c r="C228" s="5"/>
    </row>
    <row r="229" spans="1:5" x14ac:dyDescent="0.3">
      <c r="C229" t="s">
        <v>61</v>
      </c>
      <c r="D229">
        <v>1000</v>
      </c>
    </row>
    <row r="230" spans="1:5" x14ac:dyDescent="0.3">
      <c r="B230" t="s">
        <v>163</v>
      </c>
      <c r="D230" s="23">
        <v>6.76649E-2</v>
      </c>
    </row>
    <row r="231" spans="1:5" x14ac:dyDescent="0.3">
      <c r="B231" s="29" t="s">
        <v>143</v>
      </c>
      <c r="C231" s="29"/>
      <c r="D231">
        <f>D230/456</f>
        <v>1.4838793859649123E-4</v>
      </c>
    </row>
    <row r="232" spans="1:5" x14ac:dyDescent="0.3">
      <c r="B232" s="29" t="s">
        <v>99</v>
      </c>
      <c r="C232" s="29"/>
      <c r="D232" s="28">
        <f>365*(15/12)</f>
        <v>456.25</v>
      </c>
    </row>
    <row r="234" spans="1:5" x14ac:dyDescent="0.3">
      <c r="C234" t="s">
        <v>165</v>
      </c>
      <c r="D234" s="13">
        <f>PV(D231,D232,0,-D229)</f>
        <v>934.54362131464484</v>
      </c>
      <c r="E234" t="s">
        <v>166</v>
      </c>
    </row>
    <row r="236" spans="1:5" x14ac:dyDescent="0.3">
      <c r="A236" s="12" t="s">
        <v>168</v>
      </c>
    </row>
    <row r="237" spans="1:5" x14ac:dyDescent="0.3">
      <c r="C237" t="s">
        <v>79</v>
      </c>
      <c r="D237">
        <v>850</v>
      </c>
    </row>
    <row r="238" spans="1:5" x14ac:dyDescent="0.3">
      <c r="B238" t="s">
        <v>163</v>
      </c>
      <c r="D238" s="23">
        <v>6.76649E-2</v>
      </c>
    </row>
    <row r="239" spans="1:5" x14ac:dyDescent="0.3">
      <c r="B239" s="29" t="s">
        <v>143</v>
      </c>
      <c r="C239" s="29"/>
      <c r="D239">
        <f>D238/456</f>
        <v>1.4838793859649123E-4</v>
      </c>
    </row>
    <row r="240" spans="1:5" x14ac:dyDescent="0.3">
      <c r="B240" s="29" t="s">
        <v>99</v>
      </c>
      <c r="C240" s="29"/>
      <c r="D240" s="28">
        <f>365*(15/12)</f>
        <v>456.25</v>
      </c>
    </row>
    <row r="241" spans="3:6" x14ac:dyDescent="0.3">
      <c r="C241" t="s">
        <v>169</v>
      </c>
      <c r="D241" s="23">
        <v>3.5664460000000002E-4</v>
      </c>
    </row>
    <row r="243" spans="3:6" x14ac:dyDescent="0.3">
      <c r="D243" t="s">
        <v>170</v>
      </c>
      <c r="E243" s="18">
        <v>0.13689999999999999</v>
      </c>
      <c r="F243" t="s">
        <v>171</v>
      </c>
    </row>
  </sheetData>
  <mergeCells count="8">
    <mergeCell ref="B231:C231"/>
    <mergeCell ref="B232:C232"/>
    <mergeCell ref="B239:C239"/>
    <mergeCell ref="B240:C240"/>
    <mergeCell ref="B222:C222"/>
    <mergeCell ref="B223:C223"/>
    <mergeCell ref="B224:C224"/>
    <mergeCell ref="B225:C225"/>
  </mergeCells>
  <pageMargins left="0.7" right="0.7" top="0.75" bottom="0.75" header="0.3" footer="0.3"/>
  <pageSetup orientation="portrait" horizontalDpi="300" verticalDpi="300"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Sheet1</vt:lpstr>
      <vt:lpstr>Sheet2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Windows User</cp:lastModifiedBy>
  <dcterms:created xsi:type="dcterms:W3CDTF">2020-05-08T07:57:15Z</dcterms:created>
  <dcterms:modified xsi:type="dcterms:W3CDTF">2020-05-10T10:14:56Z</dcterms:modified>
</cp:coreProperties>
</file>