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date1904="1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richardsloan/Desktop/"/>
    </mc:Choice>
  </mc:AlternateContent>
  <xr:revisionPtr revIDLastSave="0" documentId="8_{DC1EBAC2-546E-4B43-8A26-33CF0E6461F3}" xr6:coauthVersionLast="45" xr6:coauthVersionMax="45" xr10:uidLastSave="{00000000-0000-0000-0000-000000000000}"/>
  <bookViews>
    <workbookView xWindow="0" yWindow="460" windowWidth="19200" windowHeight="14520" tabRatio="675" xr2:uid="{00000000-000D-0000-FFFF-FFFF00000000}"/>
  </bookViews>
  <sheets>
    <sheet name="Intro" sheetId="2900" r:id="rId1"/>
    <sheet name="Financial Statements" sheetId="1" r:id="rId2"/>
    <sheet name="Ratio Analysis" sheetId="2892" r:id="rId3"/>
    <sheet name="Cash Flow Analysis" sheetId="48" r:id="rId4"/>
    <sheet name="Credit Analysis" sheetId="2911" r:id="rId5"/>
    <sheet name="Forecasting Assumptions" sheetId="52" r:id="rId6"/>
    <sheet name="Valuation Parameters" sheetId="2902" r:id="rId7"/>
    <sheet name="Residual Income Valuations" sheetId="2819" r:id="rId8"/>
    <sheet name="DCF Valuations" sheetId="4" r:id="rId9"/>
    <sheet name="EPS Forecaster" sheetId="2897" r:id="rId10"/>
    <sheet name="Model Summary" sheetId="2903" r:id="rId11"/>
    <sheet name="Case Data" sheetId="2904" r:id="rId12"/>
  </sheets>
  <definedNames>
    <definedName name="_xlnm.Print_Area" localSheetId="3">'Cash Flow Analysis'!$A$1:$P$45,'Cash Flow Analysis'!$A$47:$P$116</definedName>
    <definedName name="_xlnm.Print_Area" localSheetId="9">'EPS Forecaster'!$A$1:$G$25</definedName>
    <definedName name="_xlnm.Print_Area" localSheetId="5">'Forecasting Assumptions'!$A$1:$Q$49</definedName>
    <definedName name="_xlnm.Print_Area" localSheetId="6">'Valuation Parameters'!$A$1:$K$20</definedName>
    <definedName name="solver_adj" localSheetId="8" hidden="1">'DCF Valuations'!$B$29</definedName>
    <definedName name="solver_adj" localSheetId="5" hidden="1">'Forecasting Assumptions'!$Q$15</definedName>
    <definedName name="solver_adj" localSheetId="0" hidden="1">Intro!$Y$11</definedName>
    <definedName name="solver_adj" localSheetId="7" hidden="1">'Residual Income Valuations'!$B$34</definedName>
    <definedName name="solver_cvg" localSheetId="8" hidden="1">0.001</definedName>
    <definedName name="solver_cvg" localSheetId="5" hidden="1">0.001</definedName>
    <definedName name="solver_cvg" localSheetId="7" hidden="1">0.001</definedName>
    <definedName name="solver_drv" localSheetId="8" hidden="1">1</definedName>
    <definedName name="solver_drv" localSheetId="5" hidden="1">1</definedName>
    <definedName name="solver_drv" localSheetId="7" hidden="1">1</definedName>
    <definedName name="solver_est" localSheetId="8" hidden="1">1</definedName>
    <definedName name="solver_est" localSheetId="5" hidden="1">1</definedName>
    <definedName name="solver_est" localSheetId="7" hidden="1">1</definedName>
    <definedName name="solver_itr" localSheetId="8" hidden="1">100</definedName>
    <definedName name="solver_itr" localSheetId="5" hidden="1">100</definedName>
    <definedName name="solver_itr" localSheetId="7" hidden="1">100</definedName>
    <definedName name="solver_lin" localSheetId="8" hidden="1">2</definedName>
    <definedName name="solver_lin" localSheetId="5" hidden="1">2</definedName>
    <definedName name="solver_lin" localSheetId="7" hidden="1">2</definedName>
    <definedName name="solver_neg" localSheetId="8" hidden="1">2</definedName>
    <definedName name="solver_neg" localSheetId="5" hidden="1">2</definedName>
    <definedName name="solver_neg" localSheetId="7" hidden="1">2</definedName>
    <definedName name="solver_num" localSheetId="8" hidden="1">0</definedName>
    <definedName name="solver_num" localSheetId="5" hidden="1">0</definedName>
    <definedName name="solver_num" localSheetId="7" hidden="1">0</definedName>
    <definedName name="solver_nwt" localSheetId="8" hidden="1">1</definedName>
    <definedName name="solver_nwt" localSheetId="5" hidden="1">1</definedName>
    <definedName name="solver_nwt" localSheetId="7" hidden="1">1</definedName>
    <definedName name="solver_opt" localSheetId="8" hidden="1">'DCF Valuations'!$A$11</definedName>
    <definedName name="solver_opt" localSheetId="5" hidden="1">'Forecasting Assumptions'!#REF!</definedName>
    <definedName name="solver_opt" localSheetId="0" hidden="1">Intro!$Z$45</definedName>
    <definedName name="solver_opt" localSheetId="7" hidden="1">'Residual Income Valuations'!$A$11</definedName>
    <definedName name="solver_pre" localSheetId="8" hidden="1">0.000001</definedName>
    <definedName name="solver_pre" localSheetId="5" hidden="1">0.000001</definedName>
    <definedName name="solver_pre" localSheetId="7" hidden="1">0.000001</definedName>
    <definedName name="solver_scl" localSheetId="8" hidden="1">2</definedName>
    <definedName name="solver_scl" localSheetId="5" hidden="1">2</definedName>
    <definedName name="solver_scl" localSheetId="7" hidden="1">2</definedName>
    <definedName name="solver_sho" localSheetId="8" hidden="1">2</definedName>
    <definedName name="solver_sho" localSheetId="5" hidden="1">2</definedName>
    <definedName name="solver_sho" localSheetId="7" hidden="1">2</definedName>
    <definedName name="solver_tim" localSheetId="8" hidden="1">100</definedName>
    <definedName name="solver_tim" localSheetId="5" hidden="1">100</definedName>
    <definedName name="solver_tim" localSheetId="7" hidden="1">100</definedName>
    <definedName name="solver_tol" localSheetId="8" hidden="1">0.05</definedName>
    <definedName name="solver_tol" localSheetId="5" hidden="1">0.05</definedName>
    <definedName name="solver_tol" localSheetId="7" hidden="1">0.05</definedName>
    <definedName name="solver_typ" localSheetId="8" hidden="1">3</definedName>
    <definedName name="solver_typ" localSheetId="5" hidden="1">3</definedName>
    <definedName name="solver_typ" localSheetId="0" hidden="1">3</definedName>
    <definedName name="solver_typ" localSheetId="7" hidden="1">3</definedName>
    <definedName name="solver_val" localSheetId="8" hidden="1">1</definedName>
    <definedName name="solver_val" localSheetId="5" hidden="1">0</definedName>
    <definedName name="solver_val" localSheetId="0" hidden="1">0</definedName>
    <definedName name="solver_val" localSheetId="7" hidden="1">1</definedName>
  </definedNames>
  <calcPr calcId="191029" iterateDelta="9.9999999999994451E-4"/>
  <customWorkbookViews>
    <customWorkbookView name="russell's view" guid="{0C8E75F0-104F-11D3-8830-006008AC4B3E}" maximized="1" windowWidth="1020" windowHeight="579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1" l="1"/>
  <c r="E8" i="1"/>
  <c r="D8" i="1"/>
  <c r="C8" i="1"/>
  <c r="B8" i="1"/>
  <c r="F12" i="1"/>
  <c r="E12" i="1"/>
  <c r="F14" i="52"/>
  <c r="G14" i="52" s="1"/>
  <c r="F33" i="1"/>
  <c r="F29" i="52"/>
  <c r="F34" i="1"/>
  <c r="F13" i="1"/>
  <c r="F15" i="52" s="1"/>
  <c r="Q15" i="52" s="1"/>
  <c r="R15" i="52" s="1"/>
  <c r="F35" i="1"/>
  <c r="F31" i="52"/>
  <c r="Q31" i="52"/>
  <c r="F36" i="1"/>
  <c r="F32" i="52"/>
  <c r="F38" i="1"/>
  <c r="F37" i="52"/>
  <c r="Q37" i="52"/>
  <c r="R37" i="52"/>
  <c r="F39" i="1"/>
  <c r="F38" i="52"/>
  <c r="Q38" i="52"/>
  <c r="F40" i="1"/>
  <c r="F39" i="52"/>
  <c r="Q39" i="52" s="1"/>
  <c r="R39" i="52" s="1"/>
  <c r="F41" i="1"/>
  <c r="F40" i="52" s="1"/>
  <c r="F44" i="1"/>
  <c r="F45" i="1"/>
  <c r="F33" i="52"/>
  <c r="Q33" i="52"/>
  <c r="F46" i="1"/>
  <c r="F34" i="52"/>
  <c r="F47" i="1"/>
  <c r="F35" i="52" s="1"/>
  <c r="F49" i="1"/>
  <c r="F50" i="1"/>
  <c r="F42" i="52"/>
  <c r="Q42" i="52" s="1"/>
  <c r="R42" i="52" s="1"/>
  <c r="F51" i="1"/>
  <c r="F43" i="52" s="1"/>
  <c r="Q43" i="52" s="1"/>
  <c r="R43" i="52" s="1"/>
  <c r="F53" i="1"/>
  <c r="F54" i="1"/>
  <c r="G15" i="52"/>
  <c r="H15" i="52" s="1"/>
  <c r="I15" i="52" s="1"/>
  <c r="J15" i="52" s="1"/>
  <c r="K15" i="52"/>
  <c r="L15" i="52" s="1"/>
  <c r="M15" i="52" s="1"/>
  <c r="N15" i="52" s="1"/>
  <c r="O15" i="52" s="1"/>
  <c r="P15" i="52" s="1"/>
  <c r="G37" i="52"/>
  <c r="H37" i="52"/>
  <c r="I37" i="52"/>
  <c r="J37" i="52" s="1"/>
  <c r="K37" i="52" s="1"/>
  <c r="L37" i="52" s="1"/>
  <c r="M37" i="52" s="1"/>
  <c r="N37" i="52" s="1"/>
  <c r="O37" i="52" s="1"/>
  <c r="P37" i="52" s="1"/>
  <c r="G39" i="52"/>
  <c r="H39" i="52" s="1"/>
  <c r="I39" i="52" s="1"/>
  <c r="J39" i="52" s="1"/>
  <c r="K39" i="52"/>
  <c r="L39" i="52" s="1"/>
  <c r="M39" i="52" s="1"/>
  <c r="N39" i="52" s="1"/>
  <c r="O39" i="52" s="1"/>
  <c r="P39" i="52" s="1"/>
  <c r="G42" i="52"/>
  <c r="H42" i="52" s="1"/>
  <c r="I42" i="52" s="1"/>
  <c r="J42" i="52" s="1"/>
  <c r="K42" i="52" s="1"/>
  <c r="L42" i="52" s="1"/>
  <c r="M42" i="52" s="1"/>
  <c r="N42" i="52" s="1"/>
  <c r="O42" i="52" s="1"/>
  <c r="P42" i="52" s="1"/>
  <c r="G43" i="52"/>
  <c r="H43" i="52"/>
  <c r="I43" i="52" s="1"/>
  <c r="J43" i="52" s="1"/>
  <c r="K43" i="52" s="1"/>
  <c r="L43" i="52"/>
  <c r="M43" i="52" s="1"/>
  <c r="N43" i="52" s="1"/>
  <c r="O43" i="52" s="1"/>
  <c r="P43" i="52" s="1"/>
  <c r="F55" i="1"/>
  <c r="F56" i="1"/>
  <c r="F57" i="1"/>
  <c r="E55" i="1"/>
  <c r="E56" i="1"/>
  <c r="E57" i="1"/>
  <c r="E54" i="1"/>
  <c r="E49" i="1"/>
  <c r="E44" i="1"/>
  <c r="E53" i="1"/>
  <c r="E33" i="1"/>
  <c r="D12" i="1"/>
  <c r="D55" i="1"/>
  <c r="D57" i="1" s="1"/>
  <c r="D56" i="1"/>
  <c r="D54" i="1"/>
  <c r="D49" i="1"/>
  <c r="D44" i="1"/>
  <c r="D53" i="1"/>
  <c r="D33" i="1"/>
  <c r="D125" i="48"/>
  <c r="C12" i="1"/>
  <c r="C55" i="1"/>
  <c r="C56" i="1"/>
  <c r="C57" i="1"/>
  <c r="C54" i="1"/>
  <c r="C49" i="1"/>
  <c r="C44" i="1"/>
  <c r="C53" i="1"/>
  <c r="C33" i="1"/>
  <c r="B12" i="1"/>
  <c r="B55" i="1"/>
  <c r="B57" i="1" s="1"/>
  <c r="B56" i="1"/>
  <c r="B54" i="1"/>
  <c r="B49" i="1"/>
  <c r="B44" i="1"/>
  <c r="B53" i="1"/>
  <c r="B33" i="1"/>
  <c r="B4" i="1"/>
  <c r="D4" i="1"/>
  <c r="E4" i="1" s="1"/>
  <c r="B5" i="1"/>
  <c r="F15" i="1"/>
  <c r="F16" i="52" s="1"/>
  <c r="Q16" i="52"/>
  <c r="F16" i="1"/>
  <c r="F17" i="52" s="1"/>
  <c r="Q17" i="52"/>
  <c r="E38" i="1"/>
  <c r="E40" i="1"/>
  <c r="F18" i="1"/>
  <c r="F18" i="52" s="1"/>
  <c r="Q18" i="52" s="1"/>
  <c r="R18" i="52" s="1"/>
  <c r="F20" i="1"/>
  <c r="F19" i="52" s="1"/>
  <c r="F21" i="1"/>
  <c r="F20" i="52" s="1"/>
  <c r="Q20" i="52"/>
  <c r="F14" i="1"/>
  <c r="F17" i="1"/>
  <c r="F23" i="1"/>
  <c r="H23" i="52"/>
  <c r="I23" i="52"/>
  <c r="J23" i="52" s="1"/>
  <c r="K23" i="52" s="1"/>
  <c r="L23" i="52" s="1"/>
  <c r="M23" i="52" s="1"/>
  <c r="N23" i="52"/>
  <c r="O23" i="52" s="1"/>
  <c r="P23" i="52" s="1"/>
  <c r="Q23" i="52" s="1"/>
  <c r="R23" i="52" s="1"/>
  <c r="H24" i="52"/>
  <c r="I24" i="52" s="1"/>
  <c r="J24" i="52" s="1"/>
  <c r="K24" i="52" s="1"/>
  <c r="L24" i="52" s="1"/>
  <c r="M24" i="52" s="1"/>
  <c r="N24" i="52" s="1"/>
  <c r="O24" i="52" s="1"/>
  <c r="P24" i="52" s="1"/>
  <c r="Q24" i="52" s="1"/>
  <c r="R24" i="52" s="1"/>
  <c r="F27" i="1"/>
  <c r="F25" i="52"/>
  <c r="Q25" i="52" s="1"/>
  <c r="B7" i="2819"/>
  <c r="R14" i="52"/>
  <c r="R17" i="52"/>
  <c r="B8" i="2819"/>
  <c r="G17" i="52"/>
  <c r="G18" i="52"/>
  <c r="H18" i="52" s="1"/>
  <c r="I18" i="52" s="1"/>
  <c r="J18" i="52" s="1"/>
  <c r="K18" i="52" s="1"/>
  <c r="L18" i="52" s="1"/>
  <c r="M18" i="52" s="1"/>
  <c r="N18" i="52" s="1"/>
  <c r="O18" i="52" s="1"/>
  <c r="P18" i="52" s="1"/>
  <c r="B14" i="2819"/>
  <c r="H17" i="52"/>
  <c r="I17" i="52"/>
  <c r="J17" i="52"/>
  <c r="K17" i="52"/>
  <c r="L17" i="52" s="1"/>
  <c r="M17" i="52"/>
  <c r="N17" i="52"/>
  <c r="O17" i="52" s="1"/>
  <c r="P17" i="52" s="1"/>
  <c r="B20" i="2819"/>
  <c r="B5" i="2819"/>
  <c r="J11" i="2902"/>
  <c r="B6" i="2819" s="1"/>
  <c r="B23" i="2819"/>
  <c r="B25" i="2819"/>
  <c r="B26" i="2819" s="1"/>
  <c r="G8" i="1"/>
  <c r="H8" i="1"/>
  <c r="B13" i="1"/>
  <c r="C13" i="1"/>
  <c r="D13" i="1"/>
  <c r="E13" i="1"/>
  <c r="B14" i="1"/>
  <c r="C14" i="1"/>
  <c r="D14" i="1"/>
  <c r="E14" i="1"/>
  <c r="B15" i="1"/>
  <c r="C15" i="1"/>
  <c r="D15" i="1"/>
  <c r="E15" i="1"/>
  <c r="B16" i="1"/>
  <c r="C16" i="1"/>
  <c r="D16" i="1"/>
  <c r="E16" i="1"/>
  <c r="B17" i="1"/>
  <c r="C17" i="1"/>
  <c r="C41" i="2892" s="1"/>
  <c r="D17" i="1"/>
  <c r="E17" i="1"/>
  <c r="B18" i="1"/>
  <c r="C18" i="1"/>
  <c r="D18" i="1"/>
  <c r="C104" i="48" s="1"/>
  <c r="E18" i="1"/>
  <c r="B19" i="1"/>
  <c r="C19" i="1"/>
  <c r="D19" i="1"/>
  <c r="C100" i="48" s="1"/>
  <c r="E19" i="1"/>
  <c r="B20" i="1"/>
  <c r="C20" i="1"/>
  <c r="D20" i="1"/>
  <c r="E20" i="1"/>
  <c r="B21" i="1"/>
  <c r="C21" i="1"/>
  <c r="B105" i="48" s="1"/>
  <c r="D21" i="1"/>
  <c r="E21" i="1"/>
  <c r="B22" i="1"/>
  <c r="C22" i="1"/>
  <c r="D22" i="1"/>
  <c r="D25" i="1" s="1"/>
  <c r="D29" i="1" s="1"/>
  <c r="D63" i="1" s="1"/>
  <c r="D65" i="1" s="1"/>
  <c r="E22" i="1"/>
  <c r="B23" i="1"/>
  <c r="C23" i="1"/>
  <c r="D23" i="1"/>
  <c r="D74" i="1" s="1"/>
  <c r="E23" i="1"/>
  <c r="B24" i="1"/>
  <c r="C24" i="1"/>
  <c r="D24" i="1"/>
  <c r="E24" i="1"/>
  <c r="F24" i="1"/>
  <c r="B25" i="1"/>
  <c r="B29" i="1" s="1"/>
  <c r="E25" i="1"/>
  <c r="E29" i="1" s="1"/>
  <c r="E63" i="1" s="1"/>
  <c r="B26" i="1"/>
  <c r="C26" i="1"/>
  <c r="D26" i="1"/>
  <c r="E26" i="1"/>
  <c r="F26" i="1"/>
  <c r="E107" i="48" s="1"/>
  <c r="B27" i="1"/>
  <c r="C27" i="1"/>
  <c r="D27" i="1"/>
  <c r="E27" i="1"/>
  <c r="B28" i="1"/>
  <c r="C28" i="1"/>
  <c r="D28" i="1"/>
  <c r="E28" i="1"/>
  <c r="E72" i="1" s="1"/>
  <c r="F28" i="1"/>
  <c r="B30" i="1"/>
  <c r="B34" i="1"/>
  <c r="C34" i="1"/>
  <c r="D34" i="1"/>
  <c r="E34" i="1"/>
  <c r="B35" i="1"/>
  <c r="C35" i="1"/>
  <c r="D35" i="1"/>
  <c r="E35" i="1"/>
  <c r="B36" i="1"/>
  <c r="C36" i="1"/>
  <c r="D36" i="1"/>
  <c r="E36" i="1"/>
  <c r="B37" i="1"/>
  <c r="C37" i="1"/>
  <c r="D37" i="1"/>
  <c r="E37" i="1"/>
  <c r="B38" i="1"/>
  <c r="C38" i="1"/>
  <c r="D38" i="1"/>
  <c r="B39" i="1"/>
  <c r="C39" i="1"/>
  <c r="C111" i="48" s="1"/>
  <c r="D39" i="1"/>
  <c r="E39" i="1"/>
  <c r="B40" i="1"/>
  <c r="C40" i="1"/>
  <c r="D40" i="1"/>
  <c r="B41" i="1"/>
  <c r="C41" i="1"/>
  <c r="B113" i="48" s="1"/>
  <c r="D41" i="1"/>
  <c r="D113" i="48" s="1"/>
  <c r="E41" i="1"/>
  <c r="C42" i="1"/>
  <c r="D11" i="2892" s="1"/>
  <c r="D42" i="1"/>
  <c r="B45" i="1"/>
  <c r="C45" i="1"/>
  <c r="D45" i="1"/>
  <c r="E45" i="1"/>
  <c r="B46" i="1"/>
  <c r="C46" i="1"/>
  <c r="D46" i="1"/>
  <c r="E46" i="1"/>
  <c r="B47" i="1"/>
  <c r="C47" i="1"/>
  <c r="D47" i="1"/>
  <c r="E47" i="1"/>
  <c r="B48" i="1"/>
  <c r="C48" i="1"/>
  <c r="D48" i="1"/>
  <c r="D52" i="1" s="1"/>
  <c r="E48" i="1"/>
  <c r="F48" i="1"/>
  <c r="B50" i="1"/>
  <c r="B114" i="48" s="1"/>
  <c r="C50" i="1"/>
  <c r="D50" i="1"/>
  <c r="E50" i="1"/>
  <c r="B51" i="1"/>
  <c r="B102" i="48" s="1"/>
  <c r="C51" i="1"/>
  <c r="D51" i="1"/>
  <c r="E51" i="1"/>
  <c r="B52" i="1"/>
  <c r="B58" i="1" s="1"/>
  <c r="E52" i="1"/>
  <c r="F52" i="1"/>
  <c r="F58" i="1" s="1"/>
  <c r="G62" i="1"/>
  <c r="F64" i="1"/>
  <c r="D58" i="1"/>
  <c r="E58" i="1"/>
  <c r="C62" i="1"/>
  <c r="D62" i="1"/>
  <c r="E62" i="1"/>
  <c r="F62" i="1"/>
  <c r="B64" i="1"/>
  <c r="C64" i="1"/>
  <c r="D64" i="1"/>
  <c r="E64" i="1"/>
  <c r="C66" i="1"/>
  <c r="D66" i="1"/>
  <c r="E66" i="1"/>
  <c r="F66" i="1"/>
  <c r="B74" i="1"/>
  <c r="B72" i="1"/>
  <c r="D73" i="1"/>
  <c r="E74" i="1"/>
  <c r="B77" i="1"/>
  <c r="B76" i="1"/>
  <c r="C77" i="1"/>
  <c r="C75" i="1" s="1"/>
  <c r="C76" i="1"/>
  <c r="D77" i="1"/>
  <c r="D76" i="1"/>
  <c r="D75" i="1" s="1"/>
  <c r="E77" i="1"/>
  <c r="E76" i="1"/>
  <c r="E75" i="1"/>
  <c r="F77" i="1"/>
  <c r="F75" i="1" s="1"/>
  <c r="F76" i="1"/>
  <c r="B4" i="2892"/>
  <c r="B7" i="2892"/>
  <c r="D7" i="2892"/>
  <c r="E7" i="2892"/>
  <c r="F7" i="2892"/>
  <c r="G7" i="2892"/>
  <c r="C10" i="2892"/>
  <c r="D10" i="2892"/>
  <c r="E10" i="2892"/>
  <c r="F10" i="2892"/>
  <c r="C12" i="2892"/>
  <c r="D12" i="2892"/>
  <c r="E12" i="2892"/>
  <c r="F12" i="2892"/>
  <c r="E13" i="2892"/>
  <c r="B106" i="48"/>
  <c r="B107" i="48"/>
  <c r="B111" i="48"/>
  <c r="C101" i="48"/>
  <c r="C102" i="48"/>
  <c r="C105" i="48"/>
  <c r="C106" i="48"/>
  <c r="C107" i="48"/>
  <c r="C110" i="48"/>
  <c r="C113" i="48"/>
  <c r="C114" i="48"/>
  <c r="D100" i="48"/>
  <c r="D101" i="48"/>
  <c r="D102" i="48"/>
  <c r="D103" i="48"/>
  <c r="D104" i="48"/>
  <c r="D105" i="48"/>
  <c r="D106" i="48"/>
  <c r="D107" i="48"/>
  <c r="D110" i="48"/>
  <c r="D111" i="48"/>
  <c r="D112" i="48"/>
  <c r="D114" i="48"/>
  <c r="E102" i="48"/>
  <c r="E104" i="48"/>
  <c r="E105" i="48"/>
  <c r="E106" i="48"/>
  <c r="E110" i="48"/>
  <c r="E111" i="48"/>
  <c r="E112" i="48"/>
  <c r="E113" i="48"/>
  <c r="E114" i="48"/>
  <c r="F115" i="48"/>
  <c r="G115" i="48"/>
  <c r="H115" i="48"/>
  <c r="I115" i="48"/>
  <c r="J115" i="48"/>
  <c r="K115" i="48"/>
  <c r="L115" i="48"/>
  <c r="M115" i="48"/>
  <c r="N115" i="48"/>
  <c r="O115" i="48"/>
  <c r="P115" i="48"/>
  <c r="Q115" i="48"/>
  <c r="D19" i="2892"/>
  <c r="D15" i="2892" s="1"/>
  <c r="D49" i="52"/>
  <c r="D20" i="2892"/>
  <c r="E20" i="2892"/>
  <c r="D24" i="2892"/>
  <c r="E24" i="2892"/>
  <c r="D25" i="2892"/>
  <c r="F26" i="2892"/>
  <c r="F31" i="2892"/>
  <c r="E33" i="2892"/>
  <c r="D35" i="2892"/>
  <c r="E35" i="2892"/>
  <c r="F35" i="2892"/>
  <c r="B40" i="2892"/>
  <c r="C40" i="2892"/>
  <c r="D40" i="2892"/>
  <c r="E40" i="2892"/>
  <c r="F40" i="2892"/>
  <c r="B41" i="2892"/>
  <c r="D41" i="2892"/>
  <c r="E41" i="2892"/>
  <c r="F41" i="2892"/>
  <c r="B42" i="2892"/>
  <c r="D42" i="2892"/>
  <c r="E42" i="2892"/>
  <c r="B21" i="52"/>
  <c r="C21" i="52"/>
  <c r="D21" i="52"/>
  <c r="E21" i="52"/>
  <c r="F47" i="2892"/>
  <c r="C48" i="2892"/>
  <c r="D48" i="2892"/>
  <c r="E48" i="2892"/>
  <c r="C49" i="2892"/>
  <c r="D49" i="2892"/>
  <c r="E49" i="2892"/>
  <c r="F49" i="2892"/>
  <c r="C50" i="2892"/>
  <c r="D50" i="2892"/>
  <c r="E50" i="2892"/>
  <c r="F50" i="2892"/>
  <c r="C51" i="2892"/>
  <c r="D51" i="2892"/>
  <c r="E51" i="2892"/>
  <c r="F51" i="2892"/>
  <c r="C52" i="2892"/>
  <c r="D52" i="2892"/>
  <c r="E52" i="2892"/>
  <c r="F52" i="2892"/>
  <c r="B56" i="2892"/>
  <c r="C56" i="2892"/>
  <c r="D56" i="2892"/>
  <c r="E56" i="2892"/>
  <c r="F56" i="2892"/>
  <c r="B12" i="48"/>
  <c r="B13" i="48"/>
  <c r="B14" i="48"/>
  <c r="B15" i="48"/>
  <c r="B16" i="48"/>
  <c r="C11" i="48"/>
  <c r="C12" i="48"/>
  <c r="C13" i="48"/>
  <c r="C14" i="48"/>
  <c r="C15" i="48"/>
  <c r="C16" i="48"/>
  <c r="D11" i="48"/>
  <c r="D17" i="48" s="1"/>
  <c r="D12" i="48"/>
  <c r="D13" i="48"/>
  <c r="D14" i="48"/>
  <c r="D15" i="48"/>
  <c r="D16" i="48"/>
  <c r="E12" i="48"/>
  <c r="E13" i="48"/>
  <c r="E14" i="48"/>
  <c r="E15" i="48"/>
  <c r="E16" i="48"/>
  <c r="B18" i="48"/>
  <c r="B19" i="48"/>
  <c r="B20" i="48"/>
  <c r="B21" i="48"/>
  <c r="B22" i="48"/>
  <c r="B23" i="48"/>
  <c r="C18" i="48"/>
  <c r="C19" i="48"/>
  <c r="C20" i="48"/>
  <c r="C21" i="48"/>
  <c r="C22" i="48"/>
  <c r="C23" i="48"/>
  <c r="D18" i="48"/>
  <c r="D19" i="48"/>
  <c r="D20" i="48"/>
  <c r="D21" i="48"/>
  <c r="D22" i="48"/>
  <c r="D23" i="48"/>
  <c r="E18" i="48"/>
  <c r="E19" i="48"/>
  <c r="E20" i="48"/>
  <c r="E21" i="48"/>
  <c r="E22" i="48"/>
  <c r="E23" i="48"/>
  <c r="B62" i="2892"/>
  <c r="C62" i="2892"/>
  <c r="D62" i="2892"/>
  <c r="E62" i="2892"/>
  <c r="B63" i="2892"/>
  <c r="C63" i="2892"/>
  <c r="D63" i="2892"/>
  <c r="E63" i="2892"/>
  <c r="F63" i="2892"/>
  <c r="B64" i="2892"/>
  <c r="C64" i="2892"/>
  <c r="D64" i="2892"/>
  <c r="E64" i="2892"/>
  <c r="B65" i="2892"/>
  <c r="C65" i="2892"/>
  <c r="D65" i="2892"/>
  <c r="E65" i="2892"/>
  <c r="F65" i="2892"/>
  <c r="B67" i="2892"/>
  <c r="D67" i="2892"/>
  <c r="E67" i="2892"/>
  <c r="F67" i="2892"/>
  <c r="G67" i="2892"/>
  <c r="B4" i="48"/>
  <c r="C7" i="48"/>
  <c r="D7" i="48"/>
  <c r="E7" i="48"/>
  <c r="F7" i="48"/>
  <c r="G7" i="48"/>
  <c r="B27" i="48"/>
  <c r="C27" i="48"/>
  <c r="C31" i="48" s="1"/>
  <c r="D27" i="48"/>
  <c r="E27" i="48"/>
  <c r="B28" i="48"/>
  <c r="C28" i="48"/>
  <c r="D28" i="48"/>
  <c r="E28" i="48"/>
  <c r="B29" i="48"/>
  <c r="C29" i="48"/>
  <c r="D29" i="48"/>
  <c r="E29" i="48"/>
  <c r="B30" i="48"/>
  <c r="C30" i="48"/>
  <c r="D30" i="48"/>
  <c r="E30" i="48"/>
  <c r="B31" i="48"/>
  <c r="D31" i="48"/>
  <c r="E31" i="48"/>
  <c r="B34" i="48"/>
  <c r="C34" i="48"/>
  <c r="D34" i="48"/>
  <c r="E34" i="48"/>
  <c r="B35" i="48"/>
  <c r="C35" i="48"/>
  <c r="D35" i="48"/>
  <c r="E35" i="48"/>
  <c r="B36" i="48"/>
  <c r="C36" i="48"/>
  <c r="D36" i="48"/>
  <c r="E36" i="48"/>
  <c r="B37" i="48"/>
  <c r="C37" i="48"/>
  <c r="D37" i="48"/>
  <c r="E37" i="48"/>
  <c r="B38" i="48"/>
  <c r="C38" i="48"/>
  <c r="E38" i="48"/>
  <c r="B39" i="48"/>
  <c r="C39" i="48"/>
  <c r="D39" i="48"/>
  <c r="E39" i="48"/>
  <c r="F40" i="48"/>
  <c r="G40" i="48"/>
  <c r="H40" i="48"/>
  <c r="I40" i="48"/>
  <c r="J40" i="48"/>
  <c r="K40" i="48"/>
  <c r="L40" i="48"/>
  <c r="M40" i="48"/>
  <c r="N40" i="48"/>
  <c r="O40" i="48"/>
  <c r="P40" i="48"/>
  <c r="Q40" i="48"/>
  <c r="B44" i="48"/>
  <c r="C44" i="48"/>
  <c r="D44" i="48"/>
  <c r="E44" i="48"/>
  <c r="F44" i="48"/>
  <c r="C50" i="48"/>
  <c r="D50" i="48"/>
  <c r="B51" i="48"/>
  <c r="C51" i="48"/>
  <c r="D51" i="48"/>
  <c r="E51" i="48"/>
  <c r="F52" i="48"/>
  <c r="G52" i="48"/>
  <c r="H52" i="48"/>
  <c r="I52" i="48"/>
  <c r="J52" i="48"/>
  <c r="K52" i="48"/>
  <c r="L52" i="48"/>
  <c r="M52" i="48"/>
  <c r="N52" i="48"/>
  <c r="O52" i="48"/>
  <c r="P52" i="48"/>
  <c r="Q52" i="48"/>
  <c r="B58" i="48"/>
  <c r="D58" i="48"/>
  <c r="E58" i="48"/>
  <c r="B59" i="48"/>
  <c r="C59" i="48"/>
  <c r="D59" i="48"/>
  <c r="E59" i="48"/>
  <c r="B60" i="48"/>
  <c r="C60" i="48"/>
  <c r="D60" i="48"/>
  <c r="E60" i="48"/>
  <c r="B61" i="48"/>
  <c r="C61" i="48"/>
  <c r="D61" i="48"/>
  <c r="E61" i="48"/>
  <c r="B62" i="48"/>
  <c r="C62" i="48"/>
  <c r="D62" i="48"/>
  <c r="E62" i="48"/>
  <c r="F63" i="48"/>
  <c r="G63" i="48"/>
  <c r="H63" i="48"/>
  <c r="I63" i="48"/>
  <c r="J63" i="48"/>
  <c r="K63" i="48"/>
  <c r="L63" i="48"/>
  <c r="M63" i="48"/>
  <c r="N63" i="48"/>
  <c r="O63" i="48"/>
  <c r="P63" i="48"/>
  <c r="Q63" i="48"/>
  <c r="B67" i="48"/>
  <c r="C67" i="48"/>
  <c r="D67" i="48"/>
  <c r="E67" i="48"/>
  <c r="B68" i="48"/>
  <c r="C68" i="48"/>
  <c r="D68" i="48"/>
  <c r="E68" i="48"/>
  <c r="B69" i="48"/>
  <c r="C69" i="48"/>
  <c r="D69" i="48"/>
  <c r="E69" i="48"/>
  <c r="C75" i="48"/>
  <c r="D75" i="48"/>
  <c r="E75" i="48"/>
  <c r="C76" i="48"/>
  <c r="F76" i="48"/>
  <c r="G76" i="48"/>
  <c r="H76" i="48"/>
  <c r="I76" i="48"/>
  <c r="J76" i="48"/>
  <c r="K76" i="48"/>
  <c r="L76" i="48"/>
  <c r="M76" i="48"/>
  <c r="N76" i="48"/>
  <c r="O76" i="48"/>
  <c r="P76" i="48"/>
  <c r="Q76" i="48"/>
  <c r="B81" i="48"/>
  <c r="C81" i="48"/>
  <c r="D81" i="48"/>
  <c r="E81" i="48"/>
  <c r="B82" i="48"/>
  <c r="D82" i="48"/>
  <c r="E82" i="48"/>
  <c r="B83" i="48"/>
  <c r="C83" i="48"/>
  <c r="D83" i="48"/>
  <c r="E83" i="48"/>
  <c r="B84" i="48"/>
  <c r="C84" i="48"/>
  <c r="D84" i="48"/>
  <c r="C85" i="48"/>
  <c r="F85" i="48"/>
  <c r="G85" i="48"/>
  <c r="H85" i="48"/>
  <c r="I85" i="48"/>
  <c r="J85" i="48"/>
  <c r="K85" i="48"/>
  <c r="L85" i="48"/>
  <c r="M85" i="48"/>
  <c r="N85" i="48"/>
  <c r="O85" i="48"/>
  <c r="P85" i="48"/>
  <c r="Q85" i="48"/>
  <c r="B89" i="48"/>
  <c r="C89" i="48"/>
  <c r="C97" i="48" s="1"/>
  <c r="D89" i="48"/>
  <c r="E89" i="48"/>
  <c r="B90" i="48"/>
  <c r="C90" i="48"/>
  <c r="D90" i="48"/>
  <c r="E90" i="48"/>
  <c r="B91" i="48"/>
  <c r="C91" i="48"/>
  <c r="D91" i="48"/>
  <c r="B92" i="48"/>
  <c r="C92" i="48"/>
  <c r="D92" i="48"/>
  <c r="E92" i="48"/>
  <c r="B93" i="48"/>
  <c r="C93" i="48"/>
  <c r="D93" i="48"/>
  <c r="E93" i="48"/>
  <c r="B94" i="48"/>
  <c r="C94" i="48"/>
  <c r="D94" i="48"/>
  <c r="E94" i="48"/>
  <c r="B95" i="48"/>
  <c r="C95" i="48"/>
  <c r="D95" i="48"/>
  <c r="E95" i="48"/>
  <c r="B96" i="48"/>
  <c r="C96" i="48"/>
  <c r="D96" i="48"/>
  <c r="E96" i="48"/>
  <c r="B97" i="48"/>
  <c r="D97" i="48"/>
  <c r="C120" i="48"/>
  <c r="D120" i="48"/>
  <c r="C122" i="48"/>
  <c r="D122" i="48"/>
  <c r="E122" i="48"/>
  <c r="B124" i="48"/>
  <c r="C124" i="48"/>
  <c r="D124" i="48"/>
  <c r="E124" i="48"/>
  <c r="D126" i="48"/>
  <c r="D127" i="48"/>
  <c r="C128" i="48"/>
  <c r="D128" i="48"/>
  <c r="E128" i="48"/>
  <c r="F128" i="48"/>
  <c r="G128" i="48"/>
  <c r="B4" i="2911"/>
  <c r="B7" i="2911"/>
  <c r="B37" i="2911" s="1"/>
  <c r="D7" i="2911"/>
  <c r="E7" i="2911"/>
  <c r="F7" i="2911"/>
  <c r="F37" i="2911" s="1"/>
  <c r="G7" i="2911"/>
  <c r="H7" i="2911"/>
  <c r="B11" i="2911"/>
  <c r="C11" i="2911"/>
  <c r="D11" i="2911"/>
  <c r="E11" i="2911"/>
  <c r="F11" i="2911"/>
  <c r="E12" i="2911"/>
  <c r="B17" i="2911"/>
  <c r="C17" i="2911"/>
  <c r="D17" i="2911"/>
  <c r="E17" i="2911"/>
  <c r="B18" i="2911"/>
  <c r="C18" i="2911"/>
  <c r="C27" i="2911" s="1"/>
  <c r="C28" i="2911" s="1"/>
  <c r="D18" i="2911"/>
  <c r="E18" i="2911"/>
  <c r="F18" i="2911"/>
  <c r="B19" i="2911"/>
  <c r="C19" i="2911"/>
  <c r="D19" i="2911"/>
  <c r="E19" i="2911"/>
  <c r="B20" i="2911"/>
  <c r="C20" i="2911"/>
  <c r="D20" i="2911"/>
  <c r="E20" i="2911"/>
  <c r="F20" i="2911"/>
  <c r="D23" i="2911"/>
  <c r="D24" i="2911" s="1"/>
  <c r="D25" i="2911"/>
  <c r="D26" i="2911"/>
  <c r="B27" i="2911"/>
  <c r="D27" i="2911"/>
  <c r="D28" i="2911" s="1"/>
  <c r="E27" i="2911"/>
  <c r="E28" i="2911" s="1"/>
  <c r="F27" i="2911"/>
  <c r="B28" i="2911"/>
  <c r="F28" i="2911"/>
  <c r="B29" i="2911"/>
  <c r="B30" i="2911" s="1"/>
  <c r="C29" i="2911"/>
  <c r="C30" i="2911" s="1"/>
  <c r="D29" i="2911"/>
  <c r="E29" i="2911"/>
  <c r="D30" i="2911"/>
  <c r="E30" i="2911"/>
  <c r="B31" i="2911"/>
  <c r="C31" i="2911"/>
  <c r="D31" i="2911"/>
  <c r="D32" i="2911" s="1"/>
  <c r="E31" i="2911"/>
  <c r="E32" i="2911" s="1"/>
  <c r="F31" i="2911"/>
  <c r="B32" i="2911"/>
  <c r="C32" i="2911"/>
  <c r="F32" i="2911"/>
  <c r="B33" i="2911"/>
  <c r="B34" i="2911" s="1"/>
  <c r="C33" i="2911"/>
  <c r="C34" i="2911" s="1"/>
  <c r="D33" i="2911"/>
  <c r="E33" i="2911"/>
  <c r="F33" i="2911"/>
  <c r="F34" i="2911" s="1"/>
  <c r="D34" i="2911"/>
  <c r="E34" i="2911"/>
  <c r="D35" i="2911"/>
  <c r="D37" i="2911"/>
  <c r="E37" i="2911"/>
  <c r="G37" i="2911"/>
  <c r="H37" i="2911"/>
  <c r="B5" i="52"/>
  <c r="B9" i="52"/>
  <c r="D9" i="52"/>
  <c r="E9" i="52"/>
  <c r="F9" i="52"/>
  <c r="G9" i="52"/>
  <c r="H9" i="52"/>
  <c r="D11" i="52"/>
  <c r="E11" i="52"/>
  <c r="C14" i="52"/>
  <c r="D14" i="52"/>
  <c r="E14" i="52"/>
  <c r="B15" i="52"/>
  <c r="C15" i="52"/>
  <c r="D15" i="52"/>
  <c r="E15" i="52"/>
  <c r="B16" i="52"/>
  <c r="C16" i="52"/>
  <c r="D16" i="52"/>
  <c r="E16" i="52"/>
  <c r="B17" i="52"/>
  <c r="C17" i="52"/>
  <c r="D17" i="52"/>
  <c r="E17" i="52"/>
  <c r="C18" i="52"/>
  <c r="D18" i="52"/>
  <c r="E18" i="52"/>
  <c r="C19" i="52"/>
  <c r="D19" i="52"/>
  <c r="E19" i="52"/>
  <c r="B20" i="52"/>
  <c r="C20" i="52"/>
  <c r="D20" i="52"/>
  <c r="E20" i="52"/>
  <c r="B22" i="52"/>
  <c r="C22" i="52"/>
  <c r="D22" i="52"/>
  <c r="E22" i="52"/>
  <c r="B23" i="52"/>
  <c r="C23" i="52"/>
  <c r="D23" i="52"/>
  <c r="E23" i="52"/>
  <c r="F23" i="52"/>
  <c r="B24" i="52"/>
  <c r="C24" i="52"/>
  <c r="D24" i="52"/>
  <c r="E24" i="52"/>
  <c r="F24" i="52"/>
  <c r="C25" i="52"/>
  <c r="D25" i="52"/>
  <c r="E25" i="52"/>
  <c r="B29" i="52"/>
  <c r="C29" i="52"/>
  <c r="D29" i="52"/>
  <c r="E29" i="52"/>
  <c r="B30" i="52"/>
  <c r="C30" i="52"/>
  <c r="D30" i="52"/>
  <c r="E30" i="52"/>
  <c r="B31" i="52"/>
  <c r="C31" i="52"/>
  <c r="D31" i="52"/>
  <c r="E31" i="52"/>
  <c r="B32" i="52"/>
  <c r="C32" i="52"/>
  <c r="D32" i="52"/>
  <c r="E32" i="52"/>
  <c r="B33" i="52"/>
  <c r="C33" i="52"/>
  <c r="D33" i="52"/>
  <c r="E33" i="52"/>
  <c r="B34" i="52"/>
  <c r="C34" i="52"/>
  <c r="D34" i="52"/>
  <c r="E34" i="52"/>
  <c r="B35" i="52"/>
  <c r="C35" i="52"/>
  <c r="D35" i="52"/>
  <c r="E35" i="52"/>
  <c r="B37" i="52"/>
  <c r="C37" i="52"/>
  <c r="D37" i="52"/>
  <c r="E37" i="52"/>
  <c r="B38" i="52"/>
  <c r="C38" i="52"/>
  <c r="D38" i="52"/>
  <c r="E38" i="52"/>
  <c r="B39" i="52"/>
  <c r="C39" i="52"/>
  <c r="D39" i="52"/>
  <c r="E39" i="52"/>
  <c r="B40" i="52"/>
  <c r="C40" i="52"/>
  <c r="D40" i="52"/>
  <c r="E40" i="52"/>
  <c r="B42" i="52"/>
  <c r="C42" i="52"/>
  <c r="D42" i="52"/>
  <c r="E42" i="52"/>
  <c r="B43" i="52"/>
  <c r="C43" i="52"/>
  <c r="D43" i="52"/>
  <c r="E43" i="52"/>
  <c r="C45" i="52"/>
  <c r="D45" i="52"/>
  <c r="C46" i="52"/>
  <c r="D46" i="52"/>
  <c r="C47" i="52"/>
  <c r="D47" i="52"/>
  <c r="C48" i="52"/>
  <c r="D48" i="52"/>
  <c r="B49" i="52"/>
  <c r="C6" i="2902"/>
  <c r="B34" i="2819"/>
  <c r="B55" i="2819"/>
  <c r="B31" i="2819"/>
  <c r="B37" i="2819"/>
  <c r="B32" i="2819"/>
  <c r="C46" i="2819" s="1"/>
  <c r="B43" i="2819"/>
  <c r="B33" i="2819"/>
  <c r="B49" i="2819"/>
  <c r="B64" i="2819"/>
  <c r="B66" i="2819"/>
  <c r="B67" i="2819" s="1"/>
  <c r="B4" i="2819"/>
  <c r="B10" i="2819"/>
  <c r="C10" i="2819"/>
  <c r="C17" i="2819"/>
  <c r="A20" i="2819"/>
  <c r="C40" i="2819"/>
  <c r="C52" i="2819"/>
  <c r="C58" i="2819"/>
  <c r="B4" i="4"/>
  <c r="B5" i="4"/>
  <c r="B7" i="4"/>
  <c r="B8" i="4"/>
  <c r="C15" i="4" s="1"/>
  <c r="B10" i="4"/>
  <c r="C10" i="4"/>
  <c r="B26" i="4"/>
  <c r="B27" i="4"/>
  <c r="B29" i="4"/>
  <c r="B19" i="4"/>
  <c r="B21" i="4"/>
  <c r="B22" i="4"/>
  <c r="B28" i="4"/>
  <c r="C41" i="4" s="1"/>
  <c r="C37" i="4"/>
  <c r="C45" i="4"/>
  <c r="B51" i="4"/>
  <c r="B53" i="4"/>
  <c r="B54" i="4"/>
  <c r="B4" i="2897"/>
  <c r="B5" i="2897"/>
  <c r="B6" i="2897"/>
  <c r="B10" i="2897"/>
  <c r="C10" i="2897"/>
  <c r="C23" i="2897"/>
  <c r="A5" i="2903"/>
  <c r="B6" i="2903"/>
  <c r="B8" i="2903"/>
  <c r="B20" i="2903"/>
  <c r="B21" i="2903" l="1"/>
  <c r="B6" i="4"/>
  <c r="C58" i="48"/>
  <c r="C82" i="48"/>
  <c r="D108" i="48"/>
  <c r="C7" i="2892"/>
  <c r="C67" i="2892" s="1"/>
  <c r="B7" i="48"/>
  <c r="B128" i="48" s="1"/>
  <c r="C7" i="2911"/>
  <c r="C37" i="2911" s="1"/>
  <c r="B75" i="1"/>
  <c r="C35" i="2892"/>
  <c r="C115" i="48"/>
  <c r="C52" i="48"/>
  <c r="C63" i="48"/>
  <c r="C40" i="48"/>
  <c r="C41" i="48" s="1"/>
  <c r="C33" i="4"/>
  <c r="D24" i="48"/>
  <c r="E57" i="2892"/>
  <c r="G12" i="1"/>
  <c r="H14" i="52"/>
  <c r="I14" i="52" s="1"/>
  <c r="J14" i="52" s="1"/>
  <c r="K14" i="52" s="1"/>
  <c r="L14" i="52" s="1"/>
  <c r="M14" i="52" s="1"/>
  <c r="N14" i="52" s="1"/>
  <c r="O14" i="52" s="1"/>
  <c r="P14" i="52" s="1"/>
  <c r="C9" i="52"/>
  <c r="C53" i="48"/>
  <c r="D59" i="1"/>
  <c r="E26" i="2892"/>
  <c r="E49" i="52"/>
  <c r="D38" i="48"/>
  <c r="C17" i="48"/>
  <c r="E65" i="1"/>
  <c r="B24" i="2892"/>
  <c r="B73" i="1"/>
  <c r="B71" i="1" s="1"/>
  <c r="C74" i="1"/>
  <c r="C72" i="1" s="1"/>
  <c r="C33" i="2892" s="1"/>
  <c r="B101" i="48"/>
  <c r="C25" i="1"/>
  <c r="B100" i="48"/>
  <c r="C42" i="2892"/>
  <c r="B104" i="48"/>
  <c r="B110" i="48"/>
  <c r="D31" i="2892"/>
  <c r="E31" i="2892"/>
  <c r="D47" i="2892"/>
  <c r="E47" i="2892"/>
  <c r="C52" i="1"/>
  <c r="C109" i="48"/>
  <c r="I8" i="1"/>
  <c r="H7" i="2892"/>
  <c r="H67" i="2892" s="1"/>
  <c r="E73" i="1"/>
  <c r="B112" i="48"/>
  <c r="B42" i="1"/>
  <c r="G16" i="52"/>
  <c r="H16" i="52" s="1"/>
  <c r="I16" i="52" s="1"/>
  <c r="J16" i="52" s="1"/>
  <c r="K16" i="52" s="1"/>
  <c r="L16" i="52" s="1"/>
  <c r="M16" i="52" s="1"/>
  <c r="N16" i="52" s="1"/>
  <c r="O16" i="52" s="1"/>
  <c r="P16" i="52" s="1"/>
  <c r="R16" i="52"/>
  <c r="E42" i="1"/>
  <c r="D109" i="48"/>
  <c r="D72" i="1"/>
  <c r="D33" i="2892" s="1"/>
  <c r="C103" i="48"/>
  <c r="C108" i="48" s="1"/>
  <c r="C116" i="48" s="1"/>
  <c r="E14" i="2892" s="1"/>
  <c r="R25" i="52"/>
  <c r="G25" i="52"/>
  <c r="H25" i="52" s="1"/>
  <c r="I25" i="52" s="1"/>
  <c r="J25" i="52" s="1"/>
  <c r="K25" i="52" s="1"/>
  <c r="L25" i="52" s="1"/>
  <c r="M25" i="52" s="1"/>
  <c r="N25" i="52" s="1"/>
  <c r="O25" i="52" s="1"/>
  <c r="P25" i="52" s="1"/>
  <c r="C112" i="48"/>
  <c r="B109" i="48"/>
  <c r="F19" i="1"/>
  <c r="Q19" i="52"/>
  <c r="R19" i="52" s="1"/>
  <c r="G19" i="52"/>
  <c r="H19" i="52" s="1"/>
  <c r="I19" i="52" s="1"/>
  <c r="J19" i="52" s="1"/>
  <c r="K19" i="52" s="1"/>
  <c r="L19" i="52" s="1"/>
  <c r="M19" i="52" s="1"/>
  <c r="N19" i="52" s="1"/>
  <c r="O19" i="52" s="1"/>
  <c r="P19" i="52" s="1"/>
  <c r="F30" i="52"/>
  <c r="F37" i="1"/>
  <c r="B125" i="48"/>
  <c r="G20" i="52"/>
  <c r="H20" i="52" s="1"/>
  <c r="I20" i="52" s="1"/>
  <c r="J20" i="52" s="1"/>
  <c r="K20" i="52" s="1"/>
  <c r="L20" i="52" s="1"/>
  <c r="M20" i="52" s="1"/>
  <c r="N20" i="52" s="1"/>
  <c r="O20" i="52" s="1"/>
  <c r="P20" i="52" s="1"/>
  <c r="R20" i="52"/>
  <c r="E125" i="48"/>
  <c r="Q34" i="52"/>
  <c r="R34" i="52" s="1"/>
  <c r="G34" i="52"/>
  <c r="H34" i="52" s="1"/>
  <c r="I34" i="52" s="1"/>
  <c r="J34" i="52" s="1"/>
  <c r="K34" i="52" s="1"/>
  <c r="L34" i="52" s="1"/>
  <c r="M34" i="52" s="1"/>
  <c r="N34" i="52" s="1"/>
  <c r="O34" i="52" s="1"/>
  <c r="P34" i="52" s="1"/>
  <c r="Q32" i="52"/>
  <c r="R32" i="52" s="1"/>
  <c r="G32" i="52"/>
  <c r="H32" i="52" s="1"/>
  <c r="I32" i="52" s="1"/>
  <c r="J32" i="52" s="1"/>
  <c r="K32" i="52" s="1"/>
  <c r="L32" i="52" s="1"/>
  <c r="M32" i="52" s="1"/>
  <c r="N32" i="52" s="1"/>
  <c r="O32" i="52" s="1"/>
  <c r="P32" i="52" s="1"/>
  <c r="C125" i="48"/>
  <c r="C126" i="48" s="1"/>
  <c r="R38" i="52"/>
  <c r="G38" i="52"/>
  <c r="H38" i="52" s="1"/>
  <c r="I38" i="52" s="1"/>
  <c r="J38" i="52" s="1"/>
  <c r="K38" i="52" s="1"/>
  <c r="L38" i="52" s="1"/>
  <c r="M38" i="52" s="1"/>
  <c r="N38" i="52" s="1"/>
  <c r="O38" i="52" s="1"/>
  <c r="P38" i="52" s="1"/>
  <c r="Q40" i="52"/>
  <c r="R40" i="52" s="1"/>
  <c r="Q29" i="52"/>
  <c r="R29" i="52" s="1"/>
  <c r="G29" i="52"/>
  <c r="H29" i="52" s="1"/>
  <c r="I29" i="52" s="1"/>
  <c r="J29" i="52" s="1"/>
  <c r="K29" i="52" s="1"/>
  <c r="L29" i="52" s="1"/>
  <c r="M29" i="52" s="1"/>
  <c r="N29" i="52" s="1"/>
  <c r="O29" i="52" s="1"/>
  <c r="P29" i="52" s="1"/>
  <c r="R33" i="52"/>
  <c r="G33" i="52"/>
  <c r="H33" i="52" s="1"/>
  <c r="I33" i="52" s="1"/>
  <c r="J33" i="52" s="1"/>
  <c r="K33" i="52" s="1"/>
  <c r="L33" i="52" s="1"/>
  <c r="M33" i="52" s="1"/>
  <c r="N33" i="52" s="1"/>
  <c r="O33" i="52" s="1"/>
  <c r="P33" i="52" s="1"/>
  <c r="R31" i="52"/>
  <c r="G31" i="52"/>
  <c r="H31" i="52" s="1"/>
  <c r="I31" i="52" s="1"/>
  <c r="J31" i="52" s="1"/>
  <c r="K31" i="52" s="1"/>
  <c r="L31" i="52" s="1"/>
  <c r="M31" i="52" s="1"/>
  <c r="N31" i="52" s="1"/>
  <c r="O31" i="52" s="1"/>
  <c r="P31" i="52" s="1"/>
  <c r="G35" i="52"/>
  <c r="H35" i="52" s="1"/>
  <c r="I35" i="52" s="1"/>
  <c r="J35" i="52" s="1"/>
  <c r="K35" i="52" s="1"/>
  <c r="L35" i="52" s="1"/>
  <c r="M35" i="52" s="1"/>
  <c r="N35" i="52" s="1"/>
  <c r="O35" i="52" s="1"/>
  <c r="P35" i="52" s="1"/>
  <c r="Q35" i="52"/>
  <c r="R35" i="52" s="1"/>
  <c r="C31" i="2892" l="1"/>
  <c r="C47" i="2892"/>
  <c r="B75" i="48"/>
  <c r="B120" i="48"/>
  <c r="B122" i="48"/>
  <c r="F42" i="1"/>
  <c r="E109" i="48"/>
  <c r="F62" i="2892"/>
  <c r="F48" i="2892"/>
  <c r="E120" i="48"/>
  <c r="F17" i="2911"/>
  <c r="G30" i="52"/>
  <c r="H30" i="52" s="1"/>
  <c r="I30" i="52" s="1"/>
  <c r="J30" i="52" s="1"/>
  <c r="K30" i="52" s="1"/>
  <c r="L30" i="52" s="1"/>
  <c r="M30" i="52" s="1"/>
  <c r="N30" i="52" s="1"/>
  <c r="O30" i="52" s="1"/>
  <c r="P30" i="52" s="1"/>
  <c r="Q30" i="52"/>
  <c r="R30" i="52" s="1"/>
  <c r="J8" i="1"/>
  <c r="H7" i="48"/>
  <c r="H128" i="48" s="1"/>
  <c r="I7" i="2892"/>
  <c r="I67" i="2892" s="1"/>
  <c r="I9" i="52"/>
  <c r="D10" i="2819"/>
  <c r="I7" i="2911"/>
  <c r="I37" i="2911" s="1"/>
  <c r="D10" i="4"/>
  <c r="D10" i="2897"/>
  <c r="D115" i="48"/>
  <c r="D40" i="48"/>
  <c r="D41" i="48" s="1"/>
  <c r="D43" i="48" s="1"/>
  <c r="D76" i="48"/>
  <c r="D85" i="48"/>
  <c r="D52" i="48"/>
  <c r="D53" i="48" s="1"/>
  <c r="D63" i="48"/>
  <c r="E58" i="2892"/>
  <c r="D80" i="48"/>
  <c r="D86" i="48" s="1"/>
  <c r="E13" i="2911"/>
  <c r="D56" i="48"/>
  <c r="E71" i="1"/>
  <c r="E19" i="2892"/>
  <c r="E15" i="2892" s="1"/>
  <c r="B30" i="2892"/>
  <c r="B44" i="2892"/>
  <c r="B43" i="2892"/>
  <c r="D71" i="1"/>
  <c r="C127" i="48"/>
  <c r="E126" i="48"/>
  <c r="E127" i="48" s="1"/>
  <c r="F22" i="1"/>
  <c r="E100" i="48"/>
  <c r="F42" i="2892"/>
  <c r="F64" i="2892"/>
  <c r="F19" i="2911"/>
  <c r="F29" i="2911" s="1"/>
  <c r="F30" i="2911" s="1"/>
  <c r="C11" i="2892"/>
  <c r="C25" i="2892"/>
  <c r="B23" i="2911"/>
  <c r="B24" i="2911" s="1"/>
  <c r="B45" i="52"/>
  <c r="B46" i="52"/>
  <c r="B47" i="52"/>
  <c r="B48" i="52"/>
  <c r="B25" i="2911"/>
  <c r="B26" i="2911" s="1"/>
  <c r="E59" i="1"/>
  <c r="F11" i="2892"/>
  <c r="E25" i="2892"/>
  <c r="E27" i="2892" s="1"/>
  <c r="F25" i="2892"/>
  <c r="E11" i="2892"/>
  <c r="D121" i="48"/>
  <c r="E23" i="2911"/>
  <c r="E24" i="2911" s="1"/>
  <c r="E45" i="52"/>
  <c r="E46" i="52"/>
  <c r="E47" i="52"/>
  <c r="E48" i="52"/>
  <c r="E25" i="2911"/>
  <c r="E26" i="2911" s="1"/>
  <c r="B59" i="1"/>
  <c r="B103" i="48"/>
  <c r="B108" i="48" s="1"/>
  <c r="G40" i="52"/>
  <c r="H40" i="52" s="1"/>
  <c r="I40" i="52" s="1"/>
  <c r="J40" i="52" s="1"/>
  <c r="K40" i="52" s="1"/>
  <c r="L40" i="52" s="1"/>
  <c r="M40" i="52" s="1"/>
  <c r="N40" i="52" s="1"/>
  <c r="O40" i="52" s="1"/>
  <c r="P40" i="52" s="1"/>
  <c r="B126" i="48"/>
  <c r="B127" i="48"/>
  <c r="C58" i="1"/>
  <c r="C25" i="2911"/>
  <c r="C26" i="2911" s="1"/>
  <c r="B121" i="48"/>
  <c r="C121" i="48"/>
  <c r="C29" i="1"/>
  <c r="C23" i="2911"/>
  <c r="C24" i="2911" s="1"/>
  <c r="C35" i="2911" s="1"/>
  <c r="C24" i="48"/>
  <c r="D57" i="2892"/>
  <c r="D12" i="2911"/>
  <c r="H12" i="1"/>
  <c r="G33" i="1"/>
  <c r="G36" i="1"/>
  <c r="F20" i="48" s="1"/>
  <c r="G40" i="1"/>
  <c r="G34" i="1"/>
  <c r="G41" i="1"/>
  <c r="G13" i="1"/>
  <c r="G14" i="1" s="1"/>
  <c r="G38" i="1"/>
  <c r="G46" i="1"/>
  <c r="F22" i="48" s="1"/>
  <c r="G50" i="1"/>
  <c r="G47" i="1"/>
  <c r="F23" i="48" s="1"/>
  <c r="G16" i="1"/>
  <c r="G21" i="1"/>
  <c r="F105" i="48" s="1"/>
  <c r="G24" i="1"/>
  <c r="F106" i="48" s="1"/>
  <c r="G51" i="1"/>
  <c r="G39" i="1"/>
  <c r="G15" i="1"/>
  <c r="G10" i="2892"/>
  <c r="G26" i="1"/>
  <c r="F107" i="48" s="1"/>
  <c r="G52" i="2892"/>
  <c r="D116" i="48"/>
  <c r="D57" i="48" l="1"/>
  <c r="D45" i="48"/>
  <c r="G17" i="1"/>
  <c r="G40" i="2892"/>
  <c r="F113" i="48"/>
  <c r="F30" i="48"/>
  <c r="F111" i="48"/>
  <c r="F28" i="48"/>
  <c r="F18" i="48"/>
  <c r="G49" i="2892"/>
  <c r="G44" i="48"/>
  <c r="F81" i="48"/>
  <c r="D58" i="2892"/>
  <c r="C56" i="48"/>
  <c r="D13" i="2911"/>
  <c r="C43" i="48"/>
  <c r="C80" i="48"/>
  <c r="C86" i="48" s="1"/>
  <c r="F22" i="52"/>
  <c r="F21" i="52"/>
  <c r="F74" i="1"/>
  <c r="F72" i="1" s="1"/>
  <c r="F33" i="2892" s="1"/>
  <c r="F25" i="1"/>
  <c r="E101" i="48"/>
  <c r="E103" i="48" s="1"/>
  <c r="E108" i="48" s="1"/>
  <c r="E84" i="48"/>
  <c r="E91" i="48"/>
  <c r="E97" i="48" s="1"/>
  <c r="D30" i="2892"/>
  <c r="D32" i="2892" s="1"/>
  <c r="D44" i="2892"/>
  <c r="D21" i="2892"/>
  <c r="D43" i="2892"/>
  <c r="C74" i="48"/>
  <c r="C77" i="48" s="1"/>
  <c r="K8" i="1"/>
  <c r="J7" i="2892"/>
  <c r="J67" i="2892" s="1"/>
  <c r="I7" i="48"/>
  <c r="I128" i="48" s="1"/>
  <c r="J9" i="52"/>
  <c r="E10" i="2819"/>
  <c r="E10" i="2897"/>
  <c r="J7" i="2911"/>
  <c r="J37" i="2911" s="1"/>
  <c r="E10" i="4"/>
  <c r="F114" i="48"/>
  <c r="F14" i="48"/>
  <c r="F102" i="48"/>
  <c r="F13" i="48"/>
  <c r="G18" i="1"/>
  <c r="F110" i="48" s="1"/>
  <c r="I12" i="1"/>
  <c r="H34" i="1"/>
  <c r="H41" i="1"/>
  <c r="H13" i="1"/>
  <c r="H38" i="1"/>
  <c r="H52" i="2892" s="1"/>
  <c r="H46" i="1"/>
  <c r="G22" i="48" s="1"/>
  <c r="H50" i="1"/>
  <c r="H39" i="1"/>
  <c r="H47" i="1"/>
  <c r="G23" i="48" s="1"/>
  <c r="H51" i="1"/>
  <c r="H36" i="1"/>
  <c r="G20" i="48" s="1"/>
  <c r="H40" i="1"/>
  <c r="H16" i="1"/>
  <c r="H21" i="1"/>
  <c r="G105" i="48" s="1"/>
  <c r="H24" i="1"/>
  <c r="G106" i="48" s="1"/>
  <c r="H33" i="1"/>
  <c r="H15" i="1"/>
  <c r="H10" i="2892"/>
  <c r="H26" i="1"/>
  <c r="G107" i="48" s="1"/>
  <c r="E35" i="2911"/>
  <c r="B35" i="2911"/>
  <c r="E30" i="2892"/>
  <c r="E32" i="2892" s="1"/>
  <c r="E43" i="2892"/>
  <c r="E44" i="2892"/>
  <c r="D74" i="48"/>
  <c r="D77" i="48" s="1"/>
  <c r="E21" i="2892"/>
  <c r="F46" i="52"/>
  <c r="F47" i="52"/>
  <c r="F48" i="52"/>
  <c r="F59" i="1"/>
  <c r="E121" i="48"/>
  <c r="F25" i="2911"/>
  <c r="F26" i="2911" s="1"/>
  <c r="F45" i="52"/>
  <c r="G33" i="2911"/>
  <c r="G34" i="2911" s="1"/>
  <c r="F124" i="48"/>
  <c r="B14" i="2903"/>
  <c r="G45" i="1"/>
  <c r="G35" i="1"/>
  <c r="G37" i="1" s="1"/>
  <c r="F112" i="48"/>
  <c r="F29" i="48"/>
  <c r="D13" i="2892"/>
  <c r="C20" i="2892"/>
  <c r="C63" i="1"/>
  <c r="C65" i="1" s="1"/>
  <c r="C73" i="1"/>
  <c r="C24" i="2892"/>
  <c r="C27" i="2892" s="1"/>
  <c r="B11" i="48"/>
  <c r="B17" i="48" s="1"/>
  <c r="B50" i="48"/>
  <c r="C49" i="52"/>
  <c r="C11" i="52"/>
  <c r="C13" i="2892"/>
  <c r="C59" i="1"/>
  <c r="D26" i="2892"/>
  <c r="D27" i="2892" s="1"/>
  <c r="C26" i="2892"/>
  <c r="D64" i="48"/>
  <c r="G42" i="1" l="1"/>
  <c r="Q45" i="52"/>
  <c r="R45" i="52" s="1"/>
  <c r="G45" i="52"/>
  <c r="H45" i="52" s="1"/>
  <c r="I45" i="52" s="1"/>
  <c r="J45" i="52" s="1"/>
  <c r="K45" i="52" s="1"/>
  <c r="L45" i="52" s="1"/>
  <c r="M45" i="52" s="1"/>
  <c r="N45" i="52" s="1"/>
  <c r="O45" i="52" s="1"/>
  <c r="P45" i="52" s="1"/>
  <c r="E34" i="2892"/>
  <c r="E36" i="2892"/>
  <c r="G112" i="48"/>
  <c r="G29" i="48"/>
  <c r="G111" i="48"/>
  <c r="G28" i="48"/>
  <c r="H45" i="1"/>
  <c r="H35" i="1"/>
  <c r="I13" i="1"/>
  <c r="I38" i="1"/>
  <c r="I46" i="1"/>
  <c r="H22" i="48" s="1"/>
  <c r="I50" i="1"/>
  <c r="J12" i="1"/>
  <c r="I39" i="1"/>
  <c r="I47" i="1"/>
  <c r="H23" i="48" s="1"/>
  <c r="I51" i="1"/>
  <c r="I33" i="1"/>
  <c r="I36" i="1"/>
  <c r="H20" i="48" s="1"/>
  <c r="I40" i="1"/>
  <c r="I34" i="1"/>
  <c r="I14" i="1"/>
  <c r="I16" i="1"/>
  <c r="I21" i="1"/>
  <c r="H105" i="48" s="1"/>
  <c r="I24" i="1"/>
  <c r="H106" i="48" s="1"/>
  <c r="I41" i="1"/>
  <c r="I15" i="1"/>
  <c r="I26" i="1"/>
  <c r="H107" i="48" s="1"/>
  <c r="I10" i="2892"/>
  <c r="I52" i="2892"/>
  <c r="K7" i="2892"/>
  <c r="K67" i="2892" s="1"/>
  <c r="L8" i="1"/>
  <c r="J7" i="48"/>
  <c r="J128" i="48" s="1"/>
  <c r="K7" i="2911"/>
  <c r="K37" i="2911" s="1"/>
  <c r="F10" i="4"/>
  <c r="F10" i="2897"/>
  <c r="K9" i="52"/>
  <c r="F10" i="2819"/>
  <c r="Q22" i="52"/>
  <c r="R22" i="52" s="1"/>
  <c r="C19" i="2892"/>
  <c r="C71" i="1"/>
  <c r="Q48" i="52"/>
  <c r="R48" i="52" s="1"/>
  <c r="H33" i="2911"/>
  <c r="H34" i="2911" s="1"/>
  <c r="G124" i="48"/>
  <c r="G114" i="48"/>
  <c r="G14" i="48"/>
  <c r="F27" i="48"/>
  <c r="F31" i="48" s="1"/>
  <c r="D34" i="2892"/>
  <c r="D36" i="2892" s="1"/>
  <c r="F29" i="1"/>
  <c r="F23" i="2911"/>
  <c r="F24" i="2911" s="1"/>
  <c r="F35" i="2911" s="1"/>
  <c r="G19" i="1"/>
  <c r="G41" i="2892"/>
  <c r="B115" i="48"/>
  <c r="B116" i="48" s="1"/>
  <c r="D14" i="2892" s="1"/>
  <c r="B40" i="48"/>
  <c r="B41" i="48" s="1"/>
  <c r="B52" i="48"/>
  <c r="B53" i="48" s="1"/>
  <c r="B63" i="48"/>
  <c r="B76" i="48"/>
  <c r="B85" i="48"/>
  <c r="Q47" i="52"/>
  <c r="R47" i="52" s="1"/>
  <c r="G102" i="48"/>
  <c r="G13" i="48"/>
  <c r="G113" i="48"/>
  <c r="G30" i="48"/>
  <c r="C45" i="48"/>
  <c r="C57" i="48"/>
  <c r="C64" i="48" s="1"/>
  <c r="H51" i="2892"/>
  <c r="G51" i="2892"/>
  <c r="F21" i="48"/>
  <c r="F104" i="48"/>
  <c r="F12" i="48"/>
  <c r="B24" i="48"/>
  <c r="C12" i="2911"/>
  <c r="C57" i="2892"/>
  <c r="H50" i="2892"/>
  <c r="F19" i="48"/>
  <c r="G50" i="2892"/>
  <c r="G31" i="2911"/>
  <c r="G32" i="2911" s="1"/>
  <c r="G46" i="52"/>
  <c r="H46" i="52" s="1"/>
  <c r="I46" i="52" s="1"/>
  <c r="J46" i="52" s="1"/>
  <c r="K46" i="52" s="1"/>
  <c r="L46" i="52" s="1"/>
  <c r="M46" i="52" s="1"/>
  <c r="N46" i="52" s="1"/>
  <c r="O46" i="52" s="1"/>
  <c r="P46" i="52" s="1"/>
  <c r="Q46" i="52"/>
  <c r="R46" i="52" s="1"/>
  <c r="H37" i="1"/>
  <c r="H44" i="48"/>
  <c r="G81" i="48"/>
  <c r="H14" i="1"/>
  <c r="I18" i="1"/>
  <c r="G27" i="48"/>
  <c r="G31" i="48" s="1"/>
  <c r="I49" i="2892"/>
  <c r="G18" i="48"/>
  <c r="H18" i="1"/>
  <c r="Q21" i="52"/>
  <c r="R21" i="52" s="1"/>
  <c r="H49" i="2892"/>
  <c r="G58" i="48" l="1"/>
  <c r="G82" i="48"/>
  <c r="H42" i="1"/>
  <c r="H124" i="48"/>
  <c r="I33" i="2911"/>
  <c r="I34" i="2911" s="1"/>
  <c r="H113" i="48"/>
  <c r="H30" i="48"/>
  <c r="I17" i="1"/>
  <c r="I40" i="2892"/>
  <c r="H111" i="48"/>
  <c r="H28" i="48"/>
  <c r="H110" i="48"/>
  <c r="H27" i="48"/>
  <c r="F58" i="48"/>
  <c r="F82" i="48"/>
  <c r="G104" i="48"/>
  <c r="G12" i="48"/>
  <c r="G110" i="48"/>
  <c r="B43" i="48"/>
  <c r="B56" i="48"/>
  <c r="C13" i="2911"/>
  <c r="C58" i="2892"/>
  <c r="B80" i="48"/>
  <c r="B86" i="48" s="1"/>
  <c r="G47" i="52"/>
  <c r="H47" i="52" s="1"/>
  <c r="I47" i="52" s="1"/>
  <c r="J47" i="52" s="1"/>
  <c r="K47" i="52" s="1"/>
  <c r="L47" i="52" s="1"/>
  <c r="M47" i="52" s="1"/>
  <c r="N47" i="52" s="1"/>
  <c r="O47" i="52" s="1"/>
  <c r="P47" i="52" s="1"/>
  <c r="F49" i="52"/>
  <c r="F20" i="2892"/>
  <c r="F73" i="1"/>
  <c r="F24" i="2892"/>
  <c r="F27" i="2892" s="1"/>
  <c r="E11" i="48"/>
  <c r="E17" i="48" s="1"/>
  <c r="E50" i="48"/>
  <c r="F63" i="1"/>
  <c r="F65" i="1" s="1"/>
  <c r="F11" i="52"/>
  <c r="F13" i="2892"/>
  <c r="G48" i="52"/>
  <c r="H48" i="52" s="1"/>
  <c r="I48" i="52" s="1"/>
  <c r="J48" i="52" s="1"/>
  <c r="K48" i="52" s="1"/>
  <c r="L48" i="52" s="1"/>
  <c r="M48" i="52" s="1"/>
  <c r="N48" i="52" s="1"/>
  <c r="O48" i="52" s="1"/>
  <c r="P48" i="52" s="1"/>
  <c r="I44" i="48"/>
  <c r="H81" i="48"/>
  <c r="K12" i="1"/>
  <c r="J39" i="1"/>
  <c r="J47" i="1"/>
  <c r="I23" i="48" s="1"/>
  <c r="J51" i="1"/>
  <c r="J33" i="1"/>
  <c r="J36" i="1"/>
  <c r="I20" i="48" s="1"/>
  <c r="J40" i="1"/>
  <c r="J34" i="1"/>
  <c r="J41" i="1"/>
  <c r="J38" i="1"/>
  <c r="J18" i="1" s="1"/>
  <c r="J16" i="1"/>
  <c r="J21" i="1"/>
  <c r="I105" i="48" s="1"/>
  <c r="J24" i="1"/>
  <c r="I106" i="48" s="1"/>
  <c r="J46" i="1"/>
  <c r="I22" i="48" s="1"/>
  <c r="J50" i="1"/>
  <c r="J15" i="1"/>
  <c r="J26" i="1"/>
  <c r="I107" i="48" s="1"/>
  <c r="J10" i="2892"/>
  <c r="J52" i="2892"/>
  <c r="J13" i="1"/>
  <c r="J14" i="1" s="1"/>
  <c r="I35" i="1"/>
  <c r="I37" i="1" s="1"/>
  <c r="I45" i="1"/>
  <c r="M8" i="1"/>
  <c r="L7" i="2892"/>
  <c r="L67" i="2892" s="1"/>
  <c r="K7" i="48"/>
  <c r="K128" i="48" s="1"/>
  <c r="L9" i="52"/>
  <c r="L7" i="2911"/>
  <c r="L37" i="2911" s="1"/>
  <c r="G10" i="4"/>
  <c r="G10" i="2819"/>
  <c r="G10" i="2897"/>
  <c r="H18" i="48"/>
  <c r="J49" i="2892"/>
  <c r="H102" i="48"/>
  <c r="H13" i="48"/>
  <c r="H114" i="48"/>
  <c r="H14" i="48"/>
  <c r="I50" i="2892"/>
  <c r="G19" i="48"/>
  <c r="H31" i="2911"/>
  <c r="H32" i="2911" s="1"/>
  <c r="H104" i="48"/>
  <c r="H12" i="48"/>
  <c r="G21" i="52"/>
  <c r="H21" i="52" s="1"/>
  <c r="I21" i="52" s="1"/>
  <c r="J21" i="52" s="1"/>
  <c r="K21" i="52" s="1"/>
  <c r="L21" i="52" s="1"/>
  <c r="M21" i="52" s="1"/>
  <c r="N21" i="52" s="1"/>
  <c r="O21" i="52" s="1"/>
  <c r="P21" i="52" s="1"/>
  <c r="H17" i="1"/>
  <c r="H40" i="2892"/>
  <c r="F100" i="48"/>
  <c r="G42" i="2892"/>
  <c r="C21" i="2892"/>
  <c r="C43" i="2892"/>
  <c r="C30" i="2892"/>
  <c r="C32" i="2892" s="1"/>
  <c r="B74" i="48"/>
  <c r="B77" i="48" s="1"/>
  <c r="C44" i="2892"/>
  <c r="G22" i="52"/>
  <c r="H22" i="52" s="1"/>
  <c r="I22" i="52" s="1"/>
  <c r="J22" i="52" s="1"/>
  <c r="K22" i="52" s="1"/>
  <c r="L22" i="52" s="1"/>
  <c r="M22" i="52" s="1"/>
  <c r="N22" i="52" s="1"/>
  <c r="O22" i="52" s="1"/>
  <c r="P22" i="52" s="1"/>
  <c r="H112" i="48"/>
  <c r="H29" i="48"/>
  <c r="G21" i="48"/>
  <c r="G44" i="1"/>
  <c r="G49" i="1"/>
  <c r="G53" i="1"/>
  <c r="C49" i="2819" s="1"/>
  <c r="G54" i="1"/>
  <c r="G58" i="1"/>
  <c r="H11" i="2892"/>
  <c r="G25" i="2892"/>
  <c r="H25" i="2892"/>
  <c r="G11" i="2892"/>
  <c r="I104" i="48" l="1"/>
  <c r="I12" i="48"/>
  <c r="J17" i="1"/>
  <c r="J40" i="2892"/>
  <c r="I42" i="1"/>
  <c r="N8" i="1"/>
  <c r="M7" i="2892"/>
  <c r="M67" i="2892" s="1"/>
  <c r="L7" i="48"/>
  <c r="L128" i="48" s="1"/>
  <c r="M9" i="52"/>
  <c r="H10" i="2819"/>
  <c r="M7" i="2911"/>
  <c r="M37" i="2911" s="1"/>
  <c r="H10" i="4"/>
  <c r="H10" i="2897"/>
  <c r="I124" i="48"/>
  <c r="J33" i="2911"/>
  <c r="J34" i="2911" s="1"/>
  <c r="I30" i="48"/>
  <c r="I113" i="48"/>
  <c r="K33" i="1"/>
  <c r="K36" i="1"/>
  <c r="J20" i="48" s="1"/>
  <c r="K40" i="1"/>
  <c r="K34" i="1"/>
  <c r="K41" i="1"/>
  <c r="L12" i="1"/>
  <c r="K13" i="1"/>
  <c r="K38" i="1"/>
  <c r="K46" i="1"/>
  <c r="J22" i="48" s="1"/>
  <c r="K50" i="1"/>
  <c r="K47" i="1"/>
  <c r="J23" i="48" s="1"/>
  <c r="K51" i="1"/>
  <c r="K14" i="1"/>
  <c r="K16" i="1"/>
  <c r="K21" i="1"/>
  <c r="J105" i="48" s="1"/>
  <c r="K24" i="1"/>
  <c r="J106" i="48" s="1"/>
  <c r="K39" i="1"/>
  <c r="K10" i="2892"/>
  <c r="K15" i="1"/>
  <c r="K26" i="1"/>
  <c r="J107" i="48" s="1"/>
  <c r="K52" i="2892"/>
  <c r="E24" i="48"/>
  <c r="F12" i="2911"/>
  <c r="F57" i="2892"/>
  <c r="G49" i="52"/>
  <c r="H49" i="52" s="1"/>
  <c r="I49" i="52" s="1"/>
  <c r="J49" i="52" s="1"/>
  <c r="K49" i="52" s="1"/>
  <c r="L49" i="52" s="1"/>
  <c r="M49" i="52" s="1"/>
  <c r="N49" i="52" s="1"/>
  <c r="O49" i="52" s="1"/>
  <c r="P49" i="52" s="1"/>
  <c r="Q49" i="52"/>
  <c r="R49" i="52" s="1"/>
  <c r="G59" i="1"/>
  <c r="G48" i="1"/>
  <c r="G20" i="1"/>
  <c r="H20" i="1"/>
  <c r="G76" i="1"/>
  <c r="F34" i="48"/>
  <c r="C37" i="2819"/>
  <c r="F95" i="48"/>
  <c r="C34" i="2892"/>
  <c r="C36" i="2892" s="1"/>
  <c r="H21" i="48"/>
  <c r="K49" i="2892"/>
  <c r="I18" i="48"/>
  <c r="I102" i="48"/>
  <c r="I13" i="48"/>
  <c r="H31" i="48"/>
  <c r="H49" i="1"/>
  <c r="H53" i="1"/>
  <c r="D49" i="2819" s="1"/>
  <c r="H54" i="1"/>
  <c r="H58" i="1"/>
  <c r="H44" i="1"/>
  <c r="I11" i="2892"/>
  <c r="I25" i="2892"/>
  <c r="H19" i="1"/>
  <c r="H41" i="2892"/>
  <c r="H20" i="2911"/>
  <c r="H19" i="48"/>
  <c r="I31" i="2911"/>
  <c r="I32" i="2911" s="1"/>
  <c r="I112" i="48"/>
  <c r="I29" i="48"/>
  <c r="E115" i="48"/>
  <c r="E116" i="48" s="1"/>
  <c r="E40" i="48"/>
  <c r="E41" i="48" s="1"/>
  <c r="E52" i="48"/>
  <c r="E53" i="48" s="1"/>
  <c r="E63" i="48"/>
  <c r="E76" i="48"/>
  <c r="E85" i="48"/>
  <c r="F71" i="1"/>
  <c r="F19" i="2892"/>
  <c r="I114" i="48"/>
  <c r="I14" i="48"/>
  <c r="J44" i="48"/>
  <c r="I81" i="48"/>
  <c r="G28" i="1"/>
  <c r="F37" i="48"/>
  <c r="F62" i="48" s="1"/>
  <c r="F96" i="48"/>
  <c r="C43" i="2819"/>
  <c r="K18" i="1"/>
  <c r="I110" i="48"/>
  <c r="I27" i="48"/>
  <c r="I31" i="48" s="1"/>
  <c r="I51" i="2892"/>
  <c r="J35" i="1"/>
  <c r="J45" i="1"/>
  <c r="I111" i="48"/>
  <c r="I28" i="48"/>
  <c r="B45" i="48"/>
  <c r="B57" i="48"/>
  <c r="B64" i="48" s="1"/>
  <c r="I19" i="1"/>
  <c r="I41" i="2892"/>
  <c r="G83" i="48" l="1"/>
  <c r="C36" i="2819"/>
  <c r="C38" i="2819" s="1"/>
  <c r="C39" i="2819" s="1"/>
  <c r="G90" i="48"/>
  <c r="J111" i="48"/>
  <c r="J28" i="48"/>
  <c r="I21" i="48"/>
  <c r="H65" i="2892"/>
  <c r="H28" i="1"/>
  <c r="G37" i="48"/>
  <c r="G62" i="48" s="1"/>
  <c r="D43" i="2819"/>
  <c r="G96" i="48"/>
  <c r="F59" i="48"/>
  <c r="B36" i="2819"/>
  <c r="B38" i="2819" s="1"/>
  <c r="B39" i="2819" s="1"/>
  <c r="F83" i="48"/>
  <c r="F90" i="48"/>
  <c r="B31" i="4" s="1"/>
  <c r="B32" i="4" s="1"/>
  <c r="G65" i="2892"/>
  <c r="G20" i="2911"/>
  <c r="G19" i="2911"/>
  <c r="G29" i="2911" s="1"/>
  <c r="G30" i="2911" s="1"/>
  <c r="G22" i="1"/>
  <c r="G64" i="2892"/>
  <c r="J102" i="48"/>
  <c r="J13" i="48"/>
  <c r="J110" i="48"/>
  <c r="J27" i="48"/>
  <c r="J113" i="48"/>
  <c r="J30" i="48"/>
  <c r="K44" i="48"/>
  <c r="J81" i="48"/>
  <c r="O8" i="1"/>
  <c r="N7" i="2892"/>
  <c r="N67" i="2892" s="1"/>
  <c r="M7" i="48"/>
  <c r="M128" i="48" s="1"/>
  <c r="N9" i="52"/>
  <c r="I10" i="2819"/>
  <c r="I10" i="2897"/>
  <c r="I10" i="4"/>
  <c r="N7" i="2911"/>
  <c r="N37" i="2911" s="1"/>
  <c r="J19" i="1"/>
  <c r="J41" i="2892"/>
  <c r="I58" i="48"/>
  <c r="I82" i="48"/>
  <c r="F21" i="2892"/>
  <c r="F30" i="2892"/>
  <c r="F32" i="2892" s="1"/>
  <c r="F43" i="2892"/>
  <c r="F44" i="2892"/>
  <c r="E74" i="48"/>
  <c r="E77" i="48" s="1"/>
  <c r="H59" i="1"/>
  <c r="H82" i="48"/>
  <c r="H58" i="48"/>
  <c r="F16" i="48"/>
  <c r="F36" i="48"/>
  <c r="F61" i="48"/>
  <c r="F92" i="48"/>
  <c r="B35" i="4" s="1"/>
  <c r="B36" i="4" s="1"/>
  <c r="B42" i="2819"/>
  <c r="B44" i="2819" s="1"/>
  <c r="B45" i="2819" s="1"/>
  <c r="G14" i="2892"/>
  <c r="F14" i="2892"/>
  <c r="J51" i="2892"/>
  <c r="G52" i="1"/>
  <c r="G18" i="2911"/>
  <c r="G27" i="2911" s="1"/>
  <c r="G28" i="2911" s="1"/>
  <c r="G63" i="2892"/>
  <c r="G17" i="2911"/>
  <c r="F109" i="48"/>
  <c r="G48" i="2892"/>
  <c r="G62" i="2892"/>
  <c r="F120" i="48"/>
  <c r="K45" i="1"/>
  <c r="K35" i="1"/>
  <c r="K37" i="1" s="1"/>
  <c r="J18" i="48"/>
  <c r="K17" i="1"/>
  <c r="K40" i="2892"/>
  <c r="I19" i="48"/>
  <c r="J31" i="2911"/>
  <c r="J32" i="2911" s="1"/>
  <c r="K50" i="2892"/>
  <c r="J104" i="48"/>
  <c r="J12" i="48"/>
  <c r="J50" i="2892"/>
  <c r="H100" i="48"/>
  <c r="I42" i="2892"/>
  <c r="J37" i="1"/>
  <c r="F15" i="2892"/>
  <c r="B7" i="2903"/>
  <c r="H22" i="1"/>
  <c r="G100" i="48"/>
  <c r="H42" i="2892"/>
  <c r="H64" i="2892"/>
  <c r="H19" i="2911"/>
  <c r="H29" i="2911" s="1"/>
  <c r="H30" i="2911" s="1"/>
  <c r="H48" i="1"/>
  <c r="H76" i="1"/>
  <c r="D37" i="2819"/>
  <c r="G34" i="48"/>
  <c r="G95" i="48"/>
  <c r="E43" i="48"/>
  <c r="E56" i="48"/>
  <c r="F13" i="2911"/>
  <c r="E80" i="48"/>
  <c r="E86" i="48" s="1"/>
  <c r="F58" i="2892"/>
  <c r="K33" i="2911"/>
  <c r="K34" i="2911" s="1"/>
  <c r="J124" i="48"/>
  <c r="J114" i="48"/>
  <c r="J14" i="48"/>
  <c r="M12" i="1"/>
  <c r="L34" i="1"/>
  <c r="L49" i="2892" s="1"/>
  <c r="L41" i="1"/>
  <c r="L13" i="1"/>
  <c r="L38" i="1"/>
  <c r="L18" i="1" s="1"/>
  <c r="L46" i="1"/>
  <c r="K22" i="48" s="1"/>
  <c r="L50" i="1"/>
  <c r="L39" i="1"/>
  <c r="L47" i="1"/>
  <c r="K23" i="48" s="1"/>
  <c r="L51" i="1"/>
  <c r="L40" i="1"/>
  <c r="L14" i="1"/>
  <c r="L16" i="1"/>
  <c r="L21" i="1"/>
  <c r="K105" i="48" s="1"/>
  <c r="L24" i="1"/>
  <c r="K106" i="48" s="1"/>
  <c r="L33" i="1"/>
  <c r="L36" i="1"/>
  <c r="K20" i="48" s="1"/>
  <c r="L15" i="1"/>
  <c r="L26" i="1"/>
  <c r="K107" i="48" s="1"/>
  <c r="L10" i="2892"/>
  <c r="J112" i="48"/>
  <c r="J29" i="48"/>
  <c r="I54" i="1"/>
  <c r="I58" i="1"/>
  <c r="I44" i="1"/>
  <c r="I49" i="1"/>
  <c r="I53" i="1"/>
  <c r="E49" i="2819" s="1"/>
  <c r="K104" i="48" l="1"/>
  <c r="K12" i="48"/>
  <c r="K42" i="1"/>
  <c r="K112" i="48"/>
  <c r="K29" i="48"/>
  <c r="K114" i="48"/>
  <c r="K14" i="48"/>
  <c r="E45" i="48"/>
  <c r="E57" i="48"/>
  <c r="H23" i="1"/>
  <c r="H25" i="1"/>
  <c r="G91" i="48"/>
  <c r="G84" i="48"/>
  <c r="K19" i="1"/>
  <c r="K41" i="2892"/>
  <c r="J21" i="48"/>
  <c r="C31" i="4"/>
  <c r="C32" i="4" s="1"/>
  <c r="I48" i="1"/>
  <c r="I76" i="1"/>
  <c r="H34" i="48"/>
  <c r="H95" i="48"/>
  <c r="E37" i="2819"/>
  <c r="K102" i="48"/>
  <c r="K13" i="48"/>
  <c r="K113" i="48"/>
  <c r="K30" i="48"/>
  <c r="G25" i="2911"/>
  <c r="G26" i="2911" s="1"/>
  <c r="F121" i="48"/>
  <c r="G57" i="1"/>
  <c r="I100" i="48"/>
  <c r="J42" i="2892"/>
  <c r="O7" i="2892"/>
  <c r="O67" i="2892" s="1"/>
  <c r="P8" i="1"/>
  <c r="N7" i="48"/>
  <c r="N128" i="48" s="1"/>
  <c r="O7" i="2911"/>
  <c r="O37" i="2911" s="1"/>
  <c r="J10" i="2819"/>
  <c r="J10" i="2897"/>
  <c r="J10" i="4"/>
  <c r="O9" i="52"/>
  <c r="G23" i="1"/>
  <c r="G27" i="1" s="1"/>
  <c r="F91" i="48"/>
  <c r="K51" i="2892"/>
  <c r="K110" i="48"/>
  <c r="K27" i="48"/>
  <c r="K31" i="48" s="1"/>
  <c r="K18" i="48"/>
  <c r="G59" i="48"/>
  <c r="H52" i="1"/>
  <c r="H63" i="2892"/>
  <c r="H18" i="2911"/>
  <c r="H27" i="2911" s="1"/>
  <c r="H28" i="2911" s="1"/>
  <c r="H62" i="2892"/>
  <c r="H17" i="2911"/>
  <c r="I48" i="2892"/>
  <c r="G109" i="48"/>
  <c r="H48" i="2892"/>
  <c r="F34" i="2892"/>
  <c r="F36" i="2892" s="1"/>
  <c r="G16" i="48"/>
  <c r="G61" i="48"/>
  <c r="C42" i="2819"/>
  <c r="C44" i="2819" s="1"/>
  <c r="C45" i="2819" s="1"/>
  <c r="G92" i="48"/>
  <c r="C35" i="4" s="1"/>
  <c r="C36" i="4" s="1"/>
  <c r="G36" i="48"/>
  <c r="I59" i="1"/>
  <c r="I28" i="1"/>
  <c r="H37" i="48"/>
  <c r="H62" i="48" s="1"/>
  <c r="H96" i="48"/>
  <c r="E43" i="2819"/>
  <c r="L52" i="2892"/>
  <c r="L33" i="2911"/>
  <c r="L34" i="2911" s="1"/>
  <c r="K124" i="48"/>
  <c r="L44" i="48"/>
  <c r="K81" i="48"/>
  <c r="L17" i="1"/>
  <c r="L40" i="2892"/>
  <c r="K111" i="48"/>
  <c r="K28" i="48"/>
  <c r="L45" i="1"/>
  <c r="L35" i="1"/>
  <c r="L50" i="2892" s="1"/>
  <c r="M13" i="1"/>
  <c r="M38" i="1"/>
  <c r="M46" i="1"/>
  <c r="L22" i="48" s="1"/>
  <c r="M50" i="1"/>
  <c r="M39" i="1"/>
  <c r="M47" i="1"/>
  <c r="L23" i="48" s="1"/>
  <c r="M51" i="1"/>
  <c r="M33" i="1"/>
  <c r="M36" i="1"/>
  <c r="L20" i="48" s="1"/>
  <c r="M40" i="1"/>
  <c r="N12" i="1"/>
  <c r="M34" i="1"/>
  <c r="M49" i="2892" s="1"/>
  <c r="M16" i="1"/>
  <c r="M21" i="1"/>
  <c r="L105" i="48" s="1"/>
  <c r="M24" i="1"/>
  <c r="L106" i="48" s="1"/>
  <c r="M41" i="1"/>
  <c r="M15" i="1"/>
  <c r="M26" i="1"/>
  <c r="L107" i="48" s="1"/>
  <c r="M52" i="2892"/>
  <c r="M10" i="2892"/>
  <c r="E64" i="48"/>
  <c r="I20" i="1"/>
  <c r="J42" i="1"/>
  <c r="J19" i="48"/>
  <c r="K31" i="2911"/>
  <c r="K32" i="2911" s="1"/>
  <c r="J31" i="48"/>
  <c r="F15" i="48" l="1"/>
  <c r="F35" i="48"/>
  <c r="F93" i="48"/>
  <c r="B39" i="4" s="1"/>
  <c r="B40" i="4" s="1"/>
  <c r="B48" i="2819"/>
  <c r="B50" i="2819" s="1"/>
  <c r="B51" i="2819" s="1"/>
  <c r="J58" i="48"/>
  <c r="J82" i="48"/>
  <c r="L111" i="48"/>
  <c r="L28" i="48"/>
  <c r="M35" i="1"/>
  <c r="M45" i="1"/>
  <c r="G25" i="1"/>
  <c r="I52" i="1"/>
  <c r="I63" i="2892"/>
  <c r="I18" i="2911"/>
  <c r="I27" i="2911" s="1"/>
  <c r="I28" i="2911" s="1"/>
  <c r="I17" i="2911"/>
  <c r="H109" i="48"/>
  <c r="I62" i="2892"/>
  <c r="H74" i="1"/>
  <c r="G101" i="48"/>
  <c r="G103" i="48" s="1"/>
  <c r="G108" i="48" s="1"/>
  <c r="G116" i="48" s="1"/>
  <c r="K44" i="1"/>
  <c r="K49" i="1"/>
  <c r="K53" i="1"/>
  <c r="G49" i="2819" s="1"/>
  <c r="K54" i="1"/>
  <c r="K58" i="1"/>
  <c r="M37" i="1"/>
  <c r="M44" i="48"/>
  <c r="L81" i="48"/>
  <c r="L114" i="48"/>
  <c r="L14" i="48"/>
  <c r="K19" i="48"/>
  <c r="L31" i="2911"/>
  <c r="L32" i="2911" s="1"/>
  <c r="K58" i="48"/>
  <c r="K82" i="48"/>
  <c r="Q8" i="1"/>
  <c r="P7" i="2892"/>
  <c r="P67" i="2892" s="1"/>
  <c r="P9" i="52"/>
  <c r="O7" i="48"/>
  <c r="O128" i="48" s="1"/>
  <c r="P7" i="2911"/>
  <c r="P37" i="2911" s="1"/>
  <c r="K10" i="4"/>
  <c r="K10" i="2819"/>
  <c r="K10" i="2897"/>
  <c r="C14" i="2819"/>
  <c r="G12" i="2892"/>
  <c r="G77" i="1"/>
  <c r="F51" i="48"/>
  <c r="F125" i="48"/>
  <c r="G11" i="2911"/>
  <c r="G56" i="2892"/>
  <c r="G26" i="2892"/>
  <c r="H59" i="48"/>
  <c r="L19" i="1"/>
  <c r="L41" i="2892"/>
  <c r="H36" i="48"/>
  <c r="H16" i="48"/>
  <c r="H92" i="48"/>
  <c r="D35" i="4" s="1"/>
  <c r="D36" i="4" s="1"/>
  <c r="H61" i="48"/>
  <c r="D42" i="2819"/>
  <c r="D44" i="2819" s="1"/>
  <c r="D45" i="2819" s="1"/>
  <c r="H25" i="2911"/>
  <c r="H26" i="2911" s="1"/>
  <c r="H57" i="1"/>
  <c r="H26" i="2892" s="1"/>
  <c r="G74" i="1"/>
  <c r="G72" i="1" s="1"/>
  <c r="G33" i="2892" s="1"/>
  <c r="F101" i="48"/>
  <c r="F103" i="48" s="1"/>
  <c r="F108" i="48" s="1"/>
  <c r="F116" i="48" s="1"/>
  <c r="H14" i="2892" s="1"/>
  <c r="H23" i="2911"/>
  <c r="H24" i="2911" s="1"/>
  <c r="H35" i="2911" s="1"/>
  <c r="H83" i="48"/>
  <c r="H90" i="48"/>
  <c r="D31" i="4" s="1"/>
  <c r="D32" i="4" s="1"/>
  <c r="D36" i="2819"/>
  <c r="D38" i="2819" s="1"/>
  <c r="D39" i="2819" s="1"/>
  <c r="I65" i="2892"/>
  <c r="I20" i="2911"/>
  <c r="I64" i="2892"/>
  <c r="I22" i="1"/>
  <c r="I19" i="2911"/>
  <c r="I29" i="2911" s="1"/>
  <c r="I30" i="2911" s="1"/>
  <c r="L18" i="48"/>
  <c r="O12" i="1"/>
  <c r="N39" i="1"/>
  <c r="N47" i="1"/>
  <c r="M23" i="48" s="1"/>
  <c r="N51" i="1"/>
  <c r="N33" i="1"/>
  <c r="N36" i="1"/>
  <c r="M20" i="48" s="1"/>
  <c r="N40" i="1"/>
  <c r="N34" i="1"/>
  <c r="N41" i="1"/>
  <c r="N46" i="1"/>
  <c r="M22" i="48" s="1"/>
  <c r="N13" i="1"/>
  <c r="N50" i="1"/>
  <c r="N16" i="1"/>
  <c r="N21" i="1"/>
  <c r="M105" i="48" s="1"/>
  <c r="N24" i="1"/>
  <c r="M106" i="48" s="1"/>
  <c r="N38" i="1"/>
  <c r="N15" i="1"/>
  <c r="N26" i="1"/>
  <c r="M107" i="48" s="1"/>
  <c r="N10" i="2892"/>
  <c r="N52" i="2892"/>
  <c r="L102" i="48"/>
  <c r="L13" i="48"/>
  <c r="M51" i="2892"/>
  <c r="K21" i="48"/>
  <c r="J58" i="1"/>
  <c r="J44" i="1"/>
  <c r="J49" i="1"/>
  <c r="J53" i="1"/>
  <c r="F49" i="2819" s="1"/>
  <c r="J54" i="1"/>
  <c r="K11" i="2892"/>
  <c r="K25" i="2892"/>
  <c r="J11" i="2892"/>
  <c r="J25" i="2892"/>
  <c r="L124" i="48"/>
  <c r="M33" i="2911"/>
  <c r="M34" i="2911" s="1"/>
  <c r="L113" i="48"/>
  <c r="L30" i="48"/>
  <c r="M14" i="1"/>
  <c r="L112" i="48"/>
  <c r="L29" i="48"/>
  <c r="N18" i="1"/>
  <c r="L37" i="1"/>
  <c r="M18" i="1"/>
  <c r="L110" i="48" s="1"/>
  <c r="F84" i="48"/>
  <c r="L51" i="2892"/>
  <c r="K42" i="2892"/>
  <c r="J100" i="48"/>
  <c r="H27" i="1"/>
  <c r="H29" i="1" s="1"/>
  <c r="C13" i="2819" l="1"/>
  <c r="C15" i="2819" s="1"/>
  <c r="C16" i="2819" s="1"/>
  <c r="H64" i="1"/>
  <c r="H63" i="1"/>
  <c r="H73" i="1"/>
  <c r="G11" i="48"/>
  <c r="H24" i="2892"/>
  <c r="H27" i="2892" s="1"/>
  <c r="G50" i="48"/>
  <c r="H11" i="52"/>
  <c r="C11" i="2897"/>
  <c r="M17" i="1"/>
  <c r="M40" i="2892"/>
  <c r="M124" i="48"/>
  <c r="N33" i="2911"/>
  <c r="N34" i="2911" s="1"/>
  <c r="M114" i="48"/>
  <c r="M14" i="48"/>
  <c r="M113" i="48"/>
  <c r="M30" i="48"/>
  <c r="N44" i="48"/>
  <c r="M81" i="48"/>
  <c r="P12" i="1"/>
  <c r="O33" i="1"/>
  <c r="O36" i="1"/>
  <c r="N20" i="48" s="1"/>
  <c r="O40" i="1"/>
  <c r="O34" i="1"/>
  <c r="O41" i="1"/>
  <c r="O13" i="1"/>
  <c r="O38" i="1"/>
  <c r="O52" i="2892" s="1"/>
  <c r="O46" i="1"/>
  <c r="N22" i="48" s="1"/>
  <c r="O50" i="1"/>
  <c r="O51" i="1"/>
  <c r="O39" i="1"/>
  <c r="O47" i="1"/>
  <c r="N23" i="48" s="1"/>
  <c r="O16" i="1"/>
  <c r="O21" i="1"/>
  <c r="N105" i="48" s="1"/>
  <c r="O24" i="1"/>
  <c r="N106" i="48" s="1"/>
  <c r="O10" i="2892"/>
  <c r="O15" i="1"/>
  <c r="O26" i="1"/>
  <c r="N107" i="48" s="1"/>
  <c r="I23" i="1"/>
  <c r="H84" i="48" s="1"/>
  <c r="F127" i="48"/>
  <c r="F126" i="48"/>
  <c r="H72" i="1"/>
  <c r="H33" i="2892" s="1"/>
  <c r="I25" i="2911"/>
  <c r="I26" i="2911" s="1"/>
  <c r="I57" i="1"/>
  <c r="L21" i="48"/>
  <c r="L104" i="48"/>
  <c r="L12" i="48"/>
  <c r="J48" i="1"/>
  <c r="J76" i="1"/>
  <c r="K20" i="1"/>
  <c r="I34" i="48"/>
  <c r="F37" i="2819"/>
  <c r="I95" i="48"/>
  <c r="J20" i="1"/>
  <c r="M18" i="48"/>
  <c r="O49" i="2892"/>
  <c r="M102" i="48"/>
  <c r="M13" i="48"/>
  <c r="N49" i="2892"/>
  <c r="K100" i="48"/>
  <c r="L42" i="2892"/>
  <c r="G29" i="1"/>
  <c r="G23" i="2911"/>
  <c r="G24" i="2911" s="1"/>
  <c r="G35" i="2911" s="1"/>
  <c r="L19" i="48"/>
  <c r="M31" i="2911"/>
  <c r="M32" i="2911" s="1"/>
  <c r="G15" i="48"/>
  <c r="G35" i="48"/>
  <c r="G93" i="48"/>
  <c r="C39" i="4" s="1"/>
  <c r="C40" i="4" s="1"/>
  <c r="C48" i="2819"/>
  <c r="C50" i="2819" s="1"/>
  <c r="C51" i="2819" s="1"/>
  <c r="J59" i="1"/>
  <c r="M112" i="48"/>
  <c r="M29" i="48"/>
  <c r="D14" i="2819"/>
  <c r="H77" i="1"/>
  <c r="H35" i="2892" s="1"/>
  <c r="I12" i="2892"/>
  <c r="G51" i="48"/>
  <c r="G125" i="48"/>
  <c r="H11" i="2911"/>
  <c r="H56" i="2892"/>
  <c r="I26" i="2892"/>
  <c r="G75" i="1"/>
  <c r="G35" i="2892"/>
  <c r="R8" i="1"/>
  <c r="P7" i="48"/>
  <c r="P128" i="48" s="1"/>
  <c r="Q7" i="2892"/>
  <c r="Q67" i="2892" s="1"/>
  <c r="Q9" i="52"/>
  <c r="L10" i="2819"/>
  <c r="Q7" i="2911"/>
  <c r="Q37" i="2911" s="1"/>
  <c r="L10" i="4"/>
  <c r="L10" i="2897"/>
  <c r="M42" i="1"/>
  <c r="K59" i="1"/>
  <c r="K48" i="1"/>
  <c r="K76" i="1"/>
  <c r="J34" i="48"/>
  <c r="G37" i="2819"/>
  <c r="J95" i="48"/>
  <c r="F60" i="48"/>
  <c r="M104" i="48"/>
  <c r="M12" i="48"/>
  <c r="N35" i="1"/>
  <c r="N50" i="2892" s="1"/>
  <c r="N45" i="1"/>
  <c r="N51" i="2892" s="1"/>
  <c r="L42" i="1"/>
  <c r="J28" i="1"/>
  <c r="I37" i="48"/>
  <c r="I62" i="48" s="1"/>
  <c r="I96" i="48"/>
  <c r="F43" i="2819"/>
  <c r="L27" i="48"/>
  <c r="L31" i="48" s="1"/>
  <c r="M110" i="48"/>
  <c r="M27" i="48"/>
  <c r="O18" i="1"/>
  <c r="N14" i="1"/>
  <c r="M111" i="48"/>
  <c r="M28" i="48"/>
  <c r="H12" i="2892"/>
  <c r="M50" i="2892"/>
  <c r="K28" i="1"/>
  <c r="J37" i="48"/>
  <c r="J62" i="48" s="1"/>
  <c r="J96" i="48"/>
  <c r="G43" i="2819"/>
  <c r="I16" i="48" l="1"/>
  <c r="I36" i="48"/>
  <c r="I61" i="48"/>
  <c r="I92" i="48"/>
  <c r="E35" i="4" s="1"/>
  <c r="E36" i="4" s="1"/>
  <c r="E42" i="2819"/>
  <c r="E44" i="2819" s="1"/>
  <c r="E45" i="2819" s="1"/>
  <c r="J59" i="48"/>
  <c r="K52" i="1"/>
  <c r="K63" i="2892"/>
  <c r="K18" i="2911"/>
  <c r="K27" i="2911" s="1"/>
  <c r="K28" i="2911" s="1"/>
  <c r="J109" i="48"/>
  <c r="K62" i="2892"/>
  <c r="K17" i="2911"/>
  <c r="M54" i="1"/>
  <c r="M58" i="1"/>
  <c r="M44" i="1"/>
  <c r="M49" i="1"/>
  <c r="M53" i="1"/>
  <c r="I49" i="2819" s="1"/>
  <c r="R7" i="2892"/>
  <c r="R67" i="2892" s="1"/>
  <c r="Q7" i="48"/>
  <c r="Q128" i="48" s="1"/>
  <c r="R9" i="52"/>
  <c r="M10" i="2819"/>
  <c r="M10" i="2897"/>
  <c r="R7" i="2911"/>
  <c r="R37" i="2911" s="1"/>
  <c r="M10" i="4"/>
  <c r="B13" i="2819"/>
  <c r="B15" i="2819" s="1"/>
  <c r="B16" i="2819" s="1"/>
  <c r="G63" i="1"/>
  <c r="G64" i="1"/>
  <c r="H13" i="2892"/>
  <c r="G20" i="2892"/>
  <c r="G24" i="2892"/>
  <c r="G27" i="2892" s="1"/>
  <c r="F11" i="48"/>
  <c r="F17" i="48" s="1"/>
  <c r="G73" i="1"/>
  <c r="F50" i="48"/>
  <c r="F53" i="48" s="1"/>
  <c r="B11" i="2897"/>
  <c r="G11" i="52"/>
  <c r="G13" i="2892"/>
  <c r="I83" i="48"/>
  <c r="I90" i="48"/>
  <c r="E31" i="4" s="1"/>
  <c r="E32" i="4" s="1"/>
  <c r="E36" i="2819"/>
  <c r="E38" i="2819" s="1"/>
  <c r="E39" i="2819" s="1"/>
  <c r="J20" i="2911"/>
  <c r="J65" i="2892"/>
  <c r="J22" i="1"/>
  <c r="J19" i="2911"/>
  <c r="J29" i="2911" s="1"/>
  <c r="J30" i="2911" s="1"/>
  <c r="J64" i="2892"/>
  <c r="J52" i="1"/>
  <c r="J18" i="2911"/>
  <c r="J27" i="2911" s="1"/>
  <c r="J28" i="2911" s="1"/>
  <c r="J63" i="2892"/>
  <c r="J17" i="2911"/>
  <c r="K48" i="2892"/>
  <c r="I109" i="48"/>
  <c r="J62" i="2892"/>
  <c r="J48" i="2892"/>
  <c r="I25" i="1"/>
  <c r="N102" i="48"/>
  <c r="N13" i="48"/>
  <c r="O45" i="1"/>
  <c r="O35" i="1"/>
  <c r="N112" i="48"/>
  <c r="N29" i="48"/>
  <c r="N37" i="1"/>
  <c r="H71" i="1"/>
  <c r="H19" i="2892"/>
  <c r="H15" i="2892" s="1"/>
  <c r="L82" i="48"/>
  <c r="L58" i="48"/>
  <c r="N104" i="48"/>
  <c r="N12" i="48"/>
  <c r="G60" i="48"/>
  <c r="I59" i="48"/>
  <c r="H91" i="48"/>
  <c r="I27" i="1"/>
  <c r="O33" i="2911"/>
  <c r="O34" i="2911" s="1"/>
  <c r="N124" i="48"/>
  <c r="O14" i="1"/>
  <c r="N114" i="48"/>
  <c r="N14" i="48"/>
  <c r="N17" i="1"/>
  <c r="N40" i="2892"/>
  <c r="M19" i="48"/>
  <c r="N31" i="2911"/>
  <c r="N32" i="2911" s="1"/>
  <c r="J16" i="48"/>
  <c r="J36" i="48"/>
  <c r="J61" i="48"/>
  <c r="F42" i="2819"/>
  <c r="F44" i="2819" s="1"/>
  <c r="F45" i="2819" s="1"/>
  <c r="J92" i="48"/>
  <c r="F35" i="4" s="1"/>
  <c r="F36" i="4" s="1"/>
  <c r="M31" i="48"/>
  <c r="L49" i="1"/>
  <c r="L53" i="1"/>
  <c r="H49" i="2819" s="1"/>
  <c r="L54" i="1"/>
  <c r="L58" i="1"/>
  <c r="L44" i="1"/>
  <c r="M11" i="2892"/>
  <c r="M25" i="2892"/>
  <c r="L25" i="2892"/>
  <c r="L11" i="2892"/>
  <c r="J83" i="48"/>
  <c r="J90" i="48"/>
  <c r="F31" i="4" s="1"/>
  <c r="F32" i="4" s="1"/>
  <c r="F36" i="2819"/>
  <c r="F38" i="2819" s="1"/>
  <c r="F39" i="2819" s="1"/>
  <c r="K65" i="2892"/>
  <c r="K20" i="2911"/>
  <c r="K64" i="2892"/>
  <c r="K22" i="1"/>
  <c r="K19" i="2911"/>
  <c r="K29" i="2911" s="1"/>
  <c r="K30" i="2911" s="1"/>
  <c r="E14" i="2819"/>
  <c r="I77" i="1"/>
  <c r="I75" i="1" s="1"/>
  <c r="H51" i="48"/>
  <c r="H125" i="48"/>
  <c r="I11" i="2911"/>
  <c r="I56" i="2892"/>
  <c r="N113" i="48"/>
  <c r="N30" i="48"/>
  <c r="O44" i="48"/>
  <c r="N81" i="48"/>
  <c r="M19" i="1"/>
  <c r="M41" i="2892"/>
  <c r="G17" i="48"/>
  <c r="G38" i="48"/>
  <c r="G67" i="48"/>
  <c r="G89" i="48"/>
  <c r="M21" i="48"/>
  <c r="F75" i="48"/>
  <c r="F122" i="48"/>
  <c r="C55" i="2819"/>
  <c r="G47" i="2892"/>
  <c r="G31" i="2892"/>
  <c r="G120" i="48"/>
  <c r="G121" i="48"/>
  <c r="G126" i="48"/>
  <c r="G127" i="48" s="1"/>
  <c r="H75" i="1"/>
  <c r="I35" i="2892"/>
  <c r="I74" i="1"/>
  <c r="I72" i="1" s="1"/>
  <c r="I33" i="2892" s="1"/>
  <c r="H101" i="48"/>
  <c r="H103" i="48" s="1"/>
  <c r="H108" i="48" s="1"/>
  <c r="H116" i="48" s="1"/>
  <c r="N111" i="48"/>
  <c r="N28" i="48"/>
  <c r="N110" i="48"/>
  <c r="N27" i="48"/>
  <c r="N31" i="48" s="1"/>
  <c r="N18" i="48"/>
  <c r="Q12" i="1"/>
  <c r="P41" i="1"/>
  <c r="P51" i="1"/>
  <c r="P13" i="1"/>
  <c r="P40" i="1"/>
  <c r="P50" i="1"/>
  <c r="P34" i="1"/>
  <c r="P39" i="1"/>
  <c r="P47" i="1"/>
  <c r="O23" i="48" s="1"/>
  <c r="P36" i="1"/>
  <c r="O20" i="48" s="1"/>
  <c r="P33" i="1"/>
  <c r="P38" i="1"/>
  <c r="P46" i="1"/>
  <c r="O22" i="48" s="1"/>
  <c r="P16" i="1"/>
  <c r="P21" i="1"/>
  <c r="O105" i="48" s="1"/>
  <c r="P24" i="1"/>
  <c r="O106" i="48" s="1"/>
  <c r="P15" i="1"/>
  <c r="P26" i="1"/>
  <c r="O107" i="48" s="1"/>
  <c r="P10" i="2892"/>
  <c r="G53" i="48"/>
  <c r="H20" i="2892"/>
  <c r="O114" i="48" l="1"/>
  <c r="O14" i="48"/>
  <c r="O113" i="48"/>
  <c r="O30" i="48"/>
  <c r="M58" i="48"/>
  <c r="M82" i="48"/>
  <c r="N19" i="48"/>
  <c r="O31" i="2911"/>
  <c r="O32" i="2911" s="1"/>
  <c r="I29" i="1"/>
  <c r="I23" i="2911"/>
  <c r="I24" i="2911" s="1"/>
  <c r="I35" i="2911" s="1"/>
  <c r="P33" i="2911"/>
  <c r="P34" i="2911" s="1"/>
  <c r="O124" i="48"/>
  <c r="O112" i="48"/>
  <c r="O29" i="48"/>
  <c r="I14" i="2892"/>
  <c r="O37" i="1"/>
  <c r="K25" i="1"/>
  <c r="K23" i="1"/>
  <c r="J84" i="48" s="1"/>
  <c r="L28" i="1"/>
  <c r="H43" i="2819"/>
  <c r="K37" i="48"/>
  <c r="K62" i="48" s="1"/>
  <c r="K96" i="48"/>
  <c r="H15" i="48"/>
  <c r="H35" i="48"/>
  <c r="H93" i="48"/>
  <c r="D39" i="4" s="1"/>
  <c r="D40" i="4" s="1"/>
  <c r="D48" i="2819"/>
  <c r="D50" i="2819" s="1"/>
  <c r="D51" i="2819" s="1"/>
  <c r="N42" i="1"/>
  <c r="N21" i="48"/>
  <c r="J25" i="2911"/>
  <c r="J26" i="2911" s="1"/>
  <c r="I121" i="48"/>
  <c r="J57" i="1"/>
  <c r="F24" i="48"/>
  <c r="G57" i="2892"/>
  <c r="G12" i="2911"/>
  <c r="F38" i="48"/>
  <c r="F67" i="48"/>
  <c r="F89" i="48"/>
  <c r="M59" i="1"/>
  <c r="L59" i="1"/>
  <c r="M48" i="1"/>
  <c r="M76" i="1"/>
  <c r="L34" i="48"/>
  <c r="L95" i="48"/>
  <c r="I37" i="2819"/>
  <c r="P44" i="48"/>
  <c r="O81" i="48"/>
  <c r="H126" i="48"/>
  <c r="H127" i="48" s="1"/>
  <c r="O50" i="2892"/>
  <c r="N19" i="1"/>
  <c r="N41" i="2892"/>
  <c r="O17" i="1"/>
  <c r="O40" i="2892"/>
  <c r="G66" i="1"/>
  <c r="G56" i="1" s="1"/>
  <c r="M28" i="1"/>
  <c r="L37" i="48"/>
  <c r="L62" i="48" s="1"/>
  <c r="L96" i="48"/>
  <c r="I43" i="2819"/>
  <c r="K25" i="2911"/>
  <c r="K26" i="2911" s="1"/>
  <c r="K57" i="1"/>
  <c r="N58" i="48"/>
  <c r="N82" i="48"/>
  <c r="H30" i="2892"/>
  <c r="H44" i="2892"/>
  <c r="H21" i="2892"/>
  <c r="H43" i="2892"/>
  <c r="C54" i="2819"/>
  <c r="C56" i="2819" s="1"/>
  <c r="C57" i="2819" s="1"/>
  <c r="G74" i="48"/>
  <c r="J23" i="1"/>
  <c r="I84" i="48" s="1"/>
  <c r="G71" i="1"/>
  <c r="G19" i="2892"/>
  <c r="Q33" i="1"/>
  <c r="Q36" i="1"/>
  <c r="P20" i="48" s="1"/>
  <c r="Q40" i="1"/>
  <c r="R12" i="1"/>
  <c r="Q34" i="1"/>
  <c r="Q41" i="1"/>
  <c r="Q13" i="1"/>
  <c r="Q38" i="1"/>
  <c r="Q18" i="1" s="1"/>
  <c r="Q46" i="1"/>
  <c r="P22" i="48" s="1"/>
  <c r="Q50" i="1"/>
  <c r="Q47" i="1"/>
  <c r="P23" i="48" s="1"/>
  <c r="Q51" i="1"/>
  <c r="Q39" i="1"/>
  <c r="Q15" i="1"/>
  <c r="Q21" i="1"/>
  <c r="P105" i="48" s="1"/>
  <c r="Q14" i="1"/>
  <c r="Q24" i="1"/>
  <c r="P106" i="48" s="1"/>
  <c r="Q26" i="1"/>
  <c r="P107" i="48" s="1"/>
  <c r="Q16" i="1"/>
  <c r="Q10" i="2892"/>
  <c r="O111" i="48"/>
  <c r="O28" i="48"/>
  <c r="P35" i="1"/>
  <c r="P45" i="1"/>
  <c r="P18" i="1"/>
  <c r="O27" i="48" s="1"/>
  <c r="O31" i="48" s="1"/>
  <c r="G122" i="48"/>
  <c r="G75" i="48"/>
  <c r="D55" i="2819"/>
  <c r="H47" i="2892"/>
  <c r="I31" i="2892"/>
  <c r="H120" i="48"/>
  <c r="H121" i="48"/>
  <c r="O51" i="2892"/>
  <c r="G24" i="48"/>
  <c r="H12" i="2911"/>
  <c r="H57" i="2892"/>
  <c r="L100" i="48"/>
  <c r="M42" i="2892"/>
  <c r="H75" i="48"/>
  <c r="H122" i="48"/>
  <c r="E55" i="2819"/>
  <c r="I47" i="2892"/>
  <c r="P52" i="2892"/>
  <c r="P14" i="1"/>
  <c r="O18" i="48"/>
  <c r="Q49" i="2892"/>
  <c r="O102" i="48"/>
  <c r="O13" i="48"/>
  <c r="P49" i="2892"/>
  <c r="H31" i="2892"/>
  <c r="L48" i="1"/>
  <c r="M20" i="1"/>
  <c r="M64" i="2892" s="1"/>
  <c r="L76" i="1"/>
  <c r="H37" i="2819"/>
  <c r="K34" i="48"/>
  <c r="K95" i="48"/>
  <c r="L20" i="1"/>
  <c r="I120" i="48"/>
  <c r="O58" i="48" l="1"/>
  <c r="O82" i="48"/>
  <c r="P104" i="48"/>
  <c r="P12" i="48"/>
  <c r="P17" i="1"/>
  <c r="P40" i="2892"/>
  <c r="O21" i="48"/>
  <c r="Q52" i="2892"/>
  <c r="P124" i="48"/>
  <c r="Q33" i="2911"/>
  <c r="Q34" i="2911" s="1"/>
  <c r="B15" i="2903"/>
  <c r="P114" i="48"/>
  <c r="P14" i="48"/>
  <c r="P113" i="48"/>
  <c r="P30" i="48"/>
  <c r="I91" i="48"/>
  <c r="J27" i="1"/>
  <c r="H62" i="1"/>
  <c r="H66" i="1" s="1"/>
  <c r="H56" i="1" s="1"/>
  <c r="G55" i="1"/>
  <c r="L59" i="48"/>
  <c r="F56" i="48"/>
  <c r="G58" i="2892"/>
  <c r="G13" i="2911"/>
  <c r="F80" i="48"/>
  <c r="F86" i="48" s="1"/>
  <c r="J91" i="48"/>
  <c r="K27" i="1"/>
  <c r="D13" i="2819"/>
  <c r="D15" i="2819" s="1"/>
  <c r="D16" i="2819" s="1"/>
  <c r="I63" i="1"/>
  <c r="I24" i="2892"/>
  <c r="I27" i="2892" s="1"/>
  <c r="I64" i="1"/>
  <c r="I20" i="2892"/>
  <c r="H11" i="48"/>
  <c r="H17" i="48" s="1"/>
  <c r="I73" i="1"/>
  <c r="H50" i="48"/>
  <c r="H53" i="48" s="1"/>
  <c r="I11" i="52"/>
  <c r="D11" i="2897"/>
  <c r="I13" i="2892"/>
  <c r="K59" i="48"/>
  <c r="L52" i="1"/>
  <c r="L18" i="2911"/>
  <c r="L27" i="2911" s="1"/>
  <c r="L28" i="2911" s="1"/>
  <c r="L63" i="2892"/>
  <c r="L17" i="2911"/>
  <c r="K109" i="48"/>
  <c r="M48" i="2892"/>
  <c r="L62" i="2892"/>
  <c r="L48" i="2892"/>
  <c r="O19" i="48"/>
  <c r="P31" i="2911"/>
  <c r="P32" i="2911" s="1"/>
  <c r="P111" i="48"/>
  <c r="P28" i="48"/>
  <c r="P18" i="48"/>
  <c r="R49" i="2892"/>
  <c r="Q44" i="48"/>
  <c r="P81" i="48"/>
  <c r="G77" i="48"/>
  <c r="G14" i="2819"/>
  <c r="K77" i="1"/>
  <c r="K75" i="1" s="1"/>
  <c r="K120" i="48" s="1"/>
  <c r="J51" i="48"/>
  <c r="J125" i="48"/>
  <c r="K11" i="2911"/>
  <c r="K56" i="2892"/>
  <c r="F14" i="2819"/>
  <c r="K12" i="2892"/>
  <c r="J77" i="1"/>
  <c r="I51" i="48"/>
  <c r="I125" i="48"/>
  <c r="J26" i="2892"/>
  <c r="J56" i="2892"/>
  <c r="J11" i="2911"/>
  <c r="K26" i="2892"/>
  <c r="J12" i="2892"/>
  <c r="P51" i="2892"/>
  <c r="O42" i="1"/>
  <c r="L83" i="48"/>
  <c r="L90" i="48"/>
  <c r="H31" i="4" s="1"/>
  <c r="H32" i="4" s="1"/>
  <c r="H36" i="2819"/>
  <c r="H38" i="2819" s="1"/>
  <c r="H39" i="2819" s="1"/>
  <c r="M20" i="2911"/>
  <c r="M65" i="2892"/>
  <c r="G56" i="48"/>
  <c r="H13" i="2911"/>
  <c r="H58" i="2892"/>
  <c r="G80" i="48"/>
  <c r="G86" i="48" s="1"/>
  <c r="Q17" i="1"/>
  <c r="Q40" i="2892"/>
  <c r="P102" i="48"/>
  <c r="P13" i="48"/>
  <c r="P110" i="48"/>
  <c r="P27" i="48"/>
  <c r="P31" i="48" s="1"/>
  <c r="R13" i="1"/>
  <c r="R38" i="1"/>
  <c r="R39" i="1"/>
  <c r="R33" i="1"/>
  <c r="R36" i="1"/>
  <c r="Q20" i="48" s="1"/>
  <c r="R40" i="1"/>
  <c r="R46" i="1"/>
  <c r="Q22" i="48" s="1"/>
  <c r="R50" i="1"/>
  <c r="R34" i="1"/>
  <c r="Q18" i="48" s="1"/>
  <c r="R47" i="1"/>
  <c r="Q23" i="48" s="1"/>
  <c r="R41" i="1"/>
  <c r="R15" i="1"/>
  <c r="R51" i="1"/>
  <c r="R16" i="1"/>
  <c r="R21" i="1"/>
  <c r="Q105" i="48" s="1"/>
  <c r="R26" i="1"/>
  <c r="Q107" i="48" s="1"/>
  <c r="R24" i="1"/>
  <c r="Q106" i="48" s="1"/>
  <c r="R10" i="2892"/>
  <c r="R52" i="2892"/>
  <c r="G15" i="2892"/>
  <c r="B12" i="2903"/>
  <c r="J74" i="1"/>
  <c r="J72" i="1" s="1"/>
  <c r="J33" i="2892" s="1"/>
  <c r="I101" i="48"/>
  <c r="I103" i="48" s="1"/>
  <c r="I108" i="48" s="1"/>
  <c r="I116" i="48" s="1"/>
  <c r="H32" i="2892"/>
  <c r="H60" i="48"/>
  <c r="K74" i="1"/>
  <c r="K72" i="1" s="1"/>
  <c r="K33" i="2892" s="1"/>
  <c r="J101" i="48"/>
  <c r="J103" i="48" s="1"/>
  <c r="J108" i="48" s="1"/>
  <c r="J116" i="48" s="1"/>
  <c r="K83" i="48"/>
  <c r="K90" i="48"/>
  <c r="G31" i="4" s="1"/>
  <c r="G32" i="4" s="1"/>
  <c r="G36" i="2819"/>
  <c r="G38" i="2819" s="1"/>
  <c r="G39" i="2819" s="1"/>
  <c r="L65" i="2892"/>
  <c r="L20" i="2911"/>
  <c r="L64" i="2892"/>
  <c r="L22" i="1"/>
  <c r="L19" i="2911"/>
  <c r="L29" i="2911" s="1"/>
  <c r="L30" i="2911" s="1"/>
  <c r="M19" i="2911"/>
  <c r="M29" i="2911" s="1"/>
  <c r="M30" i="2911" s="1"/>
  <c r="M22" i="1"/>
  <c r="O104" i="48"/>
  <c r="O12" i="48"/>
  <c r="Q45" i="1"/>
  <c r="Q35" i="1"/>
  <c r="P112" i="48"/>
  <c r="P29" i="48"/>
  <c r="G21" i="2892"/>
  <c r="G43" i="2892"/>
  <c r="G44" i="2892"/>
  <c r="G30" i="2892"/>
  <c r="G32" i="2892" s="1"/>
  <c r="F74" i="48"/>
  <c r="F77" i="48" s="1"/>
  <c r="B54" i="2819"/>
  <c r="B56" i="2819" s="1"/>
  <c r="B57" i="2819" s="1"/>
  <c r="J25" i="1"/>
  <c r="L36" i="48"/>
  <c r="L16" i="48"/>
  <c r="L92" i="48"/>
  <c r="H35" i="4" s="1"/>
  <c r="H36" i="4" s="1"/>
  <c r="H42" i="2819"/>
  <c r="H44" i="2819" s="1"/>
  <c r="H45" i="2819" s="1"/>
  <c r="L61" i="48"/>
  <c r="O19" i="1"/>
  <c r="O41" i="2892"/>
  <c r="N42" i="2892"/>
  <c r="M100" i="48"/>
  <c r="P37" i="1"/>
  <c r="M52" i="1"/>
  <c r="M18" i="2911"/>
  <c r="M27" i="2911" s="1"/>
  <c r="M28" i="2911" s="1"/>
  <c r="M63" i="2892"/>
  <c r="L109" i="48"/>
  <c r="M17" i="2911"/>
  <c r="M62" i="2892"/>
  <c r="N58" i="1"/>
  <c r="N44" i="1"/>
  <c r="N49" i="1"/>
  <c r="N53" i="1"/>
  <c r="J49" i="2819" s="1"/>
  <c r="O11" i="2892"/>
  <c r="N54" i="1"/>
  <c r="O25" i="2892"/>
  <c r="N25" i="2892"/>
  <c r="N11" i="2892"/>
  <c r="K16" i="48"/>
  <c r="K36" i="48"/>
  <c r="G42" i="2819"/>
  <c r="G44" i="2819" s="1"/>
  <c r="G45" i="2819" s="1"/>
  <c r="K61" i="48"/>
  <c r="K92" i="48"/>
  <c r="G35" i="4" s="1"/>
  <c r="G36" i="4" s="1"/>
  <c r="K29" i="1"/>
  <c r="K23" i="2911"/>
  <c r="K24" i="2911" s="1"/>
  <c r="K35" i="2911" s="1"/>
  <c r="O110" i="48"/>
  <c r="P50" i="2892"/>
  <c r="P19" i="48" l="1"/>
  <c r="Q31" i="2911"/>
  <c r="Q32" i="2911" s="1"/>
  <c r="K14" i="2892"/>
  <c r="J14" i="2892"/>
  <c r="Q124" i="48"/>
  <c r="R33" i="2911"/>
  <c r="R34" i="2911" s="1"/>
  <c r="Q114" i="48"/>
  <c r="Q14" i="48"/>
  <c r="P21" i="48"/>
  <c r="Q111" i="48"/>
  <c r="Q28" i="48"/>
  <c r="P82" i="48"/>
  <c r="P58" i="48"/>
  <c r="J75" i="1"/>
  <c r="K35" i="2892"/>
  <c r="J35" i="2892"/>
  <c r="J126" i="48"/>
  <c r="J127" i="48" s="1"/>
  <c r="I71" i="1"/>
  <c r="I19" i="2892"/>
  <c r="I15" i="2892" s="1"/>
  <c r="J15" i="48"/>
  <c r="J35" i="48"/>
  <c r="J93" i="48"/>
  <c r="F39" i="4" s="1"/>
  <c r="F40" i="4" s="1"/>
  <c r="F48" i="2819"/>
  <c r="F50" i="2819" s="1"/>
  <c r="F51" i="2819" s="1"/>
  <c r="I15" i="48"/>
  <c r="I35" i="48"/>
  <c r="I93" i="48"/>
  <c r="E39" i="4" s="1"/>
  <c r="E40" i="4" s="1"/>
  <c r="E48" i="2819"/>
  <c r="E50" i="2819" s="1"/>
  <c r="E51" i="2819" s="1"/>
  <c r="M23" i="1"/>
  <c r="M27" i="1" s="1"/>
  <c r="L91" i="48"/>
  <c r="R35" i="1"/>
  <c r="R45" i="1"/>
  <c r="Q21" i="48" s="1"/>
  <c r="Q37" i="1"/>
  <c r="I62" i="1"/>
  <c r="I66" i="1" s="1"/>
  <c r="I56" i="1" s="1"/>
  <c r="H55" i="1"/>
  <c r="Q51" i="2892"/>
  <c r="N48" i="1"/>
  <c r="N76" i="1"/>
  <c r="M34" i="48"/>
  <c r="J37" i="2819"/>
  <c r="M95" i="48"/>
  <c r="N20" i="1"/>
  <c r="N100" i="48"/>
  <c r="O42" i="2892"/>
  <c r="N59" i="1"/>
  <c r="G34" i="2892"/>
  <c r="G36" i="2892"/>
  <c r="R14" i="1"/>
  <c r="Q112" i="48"/>
  <c r="Q29" i="48"/>
  <c r="L25" i="2911"/>
  <c r="L26" i="2911" s="1"/>
  <c r="K121" i="48"/>
  <c r="L57" i="1"/>
  <c r="H24" i="48"/>
  <c r="I57" i="2892"/>
  <c r="I12" i="2911"/>
  <c r="P19" i="1"/>
  <c r="P41" i="2892"/>
  <c r="P42" i="1"/>
  <c r="R37" i="1"/>
  <c r="Q81" i="48"/>
  <c r="H38" i="48"/>
  <c r="H89" i="48"/>
  <c r="H67" i="48"/>
  <c r="N28" i="1"/>
  <c r="M37" i="48"/>
  <c r="M62" i="48" s="1"/>
  <c r="M96" i="48"/>
  <c r="J43" i="2819"/>
  <c r="Q113" i="48"/>
  <c r="Q30" i="48"/>
  <c r="F13" i="2819"/>
  <c r="F15" i="2819" s="1"/>
  <c r="F16" i="2819" s="1"/>
  <c r="K64" i="1"/>
  <c r="K20" i="2892"/>
  <c r="K24" i="2892"/>
  <c r="K27" i="2892" s="1"/>
  <c r="K63" i="1"/>
  <c r="J11" i="48"/>
  <c r="J17" i="48" s="1"/>
  <c r="J50" i="48"/>
  <c r="J53" i="48" s="1"/>
  <c r="K73" i="1"/>
  <c r="K11" i="52"/>
  <c r="F11" i="2897"/>
  <c r="M25" i="2911"/>
  <c r="M26" i="2911" s="1"/>
  <c r="M57" i="1"/>
  <c r="J29" i="1"/>
  <c r="J23" i="2911"/>
  <c r="J24" i="2911" s="1"/>
  <c r="J35" i="2911" s="1"/>
  <c r="L27" i="1"/>
  <c r="L25" i="1"/>
  <c r="L23" i="1"/>
  <c r="K84" i="48"/>
  <c r="H34" i="2892"/>
  <c r="H36" i="2892" s="1"/>
  <c r="Q102" i="48"/>
  <c r="Q13" i="48"/>
  <c r="R18" i="1"/>
  <c r="Q110" i="48" s="1"/>
  <c r="Q19" i="1"/>
  <c r="Q41" i="2892"/>
  <c r="O44" i="1"/>
  <c r="O49" i="1"/>
  <c r="O53" i="1"/>
  <c r="K49" i="2819" s="1"/>
  <c r="O54" i="1"/>
  <c r="O58" i="1"/>
  <c r="P11" i="2892"/>
  <c r="P25" i="2892"/>
  <c r="I126" i="48"/>
  <c r="I127" i="48" s="1"/>
  <c r="J75" i="48"/>
  <c r="J122" i="48"/>
  <c r="G55" i="2819"/>
  <c r="K47" i="2892"/>
  <c r="Q50" i="2892"/>
  <c r="F39" i="48"/>
  <c r="F68" i="48"/>
  <c r="F69" i="48" s="1"/>
  <c r="F94" i="48"/>
  <c r="F97" i="48" s="1"/>
  <c r="B43" i="4" s="1"/>
  <c r="B44" i="4" s="1"/>
  <c r="L15" i="48" l="1"/>
  <c r="L35" i="48"/>
  <c r="L93" i="48"/>
  <c r="H39" i="4" s="1"/>
  <c r="H40" i="4" s="1"/>
  <c r="H48" i="2819"/>
  <c r="H50" i="2819" s="1"/>
  <c r="H51" i="2819" s="1"/>
  <c r="O48" i="1"/>
  <c r="O76" i="1"/>
  <c r="N34" i="48"/>
  <c r="N95" i="48"/>
  <c r="K37" i="2819"/>
  <c r="K15" i="48"/>
  <c r="K35" i="48"/>
  <c r="G48" i="2819"/>
  <c r="G50" i="2819" s="1"/>
  <c r="G51" i="2819" s="1"/>
  <c r="K93" i="48"/>
  <c r="G39" i="4" s="1"/>
  <c r="G40" i="4" s="1"/>
  <c r="L74" i="1"/>
  <c r="L72" i="1" s="1"/>
  <c r="L33" i="2892" s="1"/>
  <c r="K101" i="48"/>
  <c r="K103" i="48" s="1"/>
  <c r="K108" i="48" s="1"/>
  <c r="K116" i="48" s="1"/>
  <c r="E13" i="2819"/>
  <c r="E15" i="2819" s="1"/>
  <c r="E16" i="2819" s="1"/>
  <c r="J63" i="1"/>
  <c r="K13" i="2892"/>
  <c r="J64" i="1"/>
  <c r="J20" i="2892"/>
  <c r="J73" i="1"/>
  <c r="J24" i="2892"/>
  <c r="J27" i="2892" s="1"/>
  <c r="I11" i="48"/>
  <c r="I17" i="48" s="1"/>
  <c r="I50" i="48"/>
  <c r="I53" i="48" s="1"/>
  <c r="J11" i="52"/>
  <c r="E11" i="2897"/>
  <c r="J13" i="2892"/>
  <c r="R42" i="1"/>
  <c r="H14" i="2819"/>
  <c r="L77" i="1"/>
  <c r="M12" i="2892"/>
  <c r="K51" i="48"/>
  <c r="K125" i="48"/>
  <c r="M26" i="2892"/>
  <c r="L11" i="2911"/>
  <c r="L56" i="2892"/>
  <c r="L26" i="2892"/>
  <c r="L12" i="2892"/>
  <c r="J62" i="1"/>
  <c r="J66" i="1" s="1"/>
  <c r="J56" i="1" s="1"/>
  <c r="I55" i="1"/>
  <c r="M25" i="1"/>
  <c r="P100" i="48"/>
  <c r="Q42" i="2892"/>
  <c r="L29" i="1"/>
  <c r="L23" i="2911"/>
  <c r="L24" i="2911" s="1"/>
  <c r="L35" i="2911" s="1"/>
  <c r="J24" i="48"/>
  <c r="K57" i="2892"/>
  <c r="K12" i="2911"/>
  <c r="M16" i="48"/>
  <c r="M36" i="48"/>
  <c r="M61" i="48"/>
  <c r="M92" i="48"/>
  <c r="I35" i="4" s="1"/>
  <c r="I36" i="4" s="1"/>
  <c r="I42" i="2819"/>
  <c r="I44" i="2819" s="1"/>
  <c r="I45" i="2819" s="1"/>
  <c r="R17" i="1"/>
  <c r="R40" i="2892"/>
  <c r="M83" i="48"/>
  <c r="M90" i="48"/>
  <c r="I31" i="4" s="1"/>
  <c r="I32" i="4" s="1"/>
  <c r="I36" i="2819"/>
  <c r="I38" i="2819" s="1"/>
  <c r="I39" i="2819" s="1"/>
  <c r="N65" i="2892"/>
  <c r="N20" i="2911"/>
  <c r="N64" i="2892"/>
  <c r="N19" i="2911"/>
  <c r="N29" i="2911" s="1"/>
  <c r="N30" i="2911" s="1"/>
  <c r="N22" i="1"/>
  <c r="N52" i="1"/>
  <c r="N63" i="2892"/>
  <c r="N18" i="2911"/>
  <c r="N27" i="2911" s="1"/>
  <c r="N28" i="2911" s="1"/>
  <c r="N17" i="2911"/>
  <c r="M109" i="48"/>
  <c r="O48" i="2892"/>
  <c r="N62" i="2892"/>
  <c r="N48" i="2892"/>
  <c r="Q19" i="48"/>
  <c r="R31" i="2911"/>
  <c r="R32" i="2911" s="1"/>
  <c r="R51" i="2892"/>
  <c r="R50" i="2892"/>
  <c r="Q104" i="48"/>
  <c r="Q12" i="48"/>
  <c r="I14" i="2819"/>
  <c r="M77" i="1"/>
  <c r="M75" i="1" s="1"/>
  <c r="L51" i="48"/>
  <c r="L125" i="48"/>
  <c r="M56" i="2892"/>
  <c r="M11" i="2911"/>
  <c r="J38" i="48"/>
  <c r="J67" i="48"/>
  <c r="J89" i="48"/>
  <c r="P53" i="1"/>
  <c r="L49" i="2819" s="1"/>
  <c r="P44" i="1"/>
  <c r="P20" i="1" s="1"/>
  <c r="P58" i="1"/>
  <c r="P54" i="1"/>
  <c r="P49" i="1"/>
  <c r="Q11" i="2892"/>
  <c r="O100" i="48"/>
  <c r="P42" i="2892"/>
  <c r="H80" i="48"/>
  <c r="H86" i="48" s="1"/>
  <c r="I58" i="2892"/>
  <c r="H56" i="48"/>
  <c r="I13" i="2911"/>
  <c r="M59" i="48"/>
  <c r="Q42" i="1"/>
  <c r="M74" i="1"/>
  <c r="M72" i="1" s="1"/>
  <c r="M33" i="2892" s="1"/>
  <c r="L101" i="48"/>
  <c r="L103" i="48" s="1"/>
  <c r="L108" i="48" s="1"/>
  <c r="L116" i="48" s="1"/>
  <c r="I30" i="2892"/>
  <c r="I32" i="2892" s="1"/>
  <c r="I43" i="2892"/>
  <c r="I44" i="2892"/>
  <c r="I21" i="2892"/>
  <c r="H74" i="48"/>
  <c r="H77" i="48" s="1"/>
  <c r="D54" i="2819"/>
  <c r="D56" i="2819" s="1"/>
  <c r="D57" i="2819" s="1"/>
  <c r="B12" i="2897"/>
  <c r="F41" i="48"/>
  <c r="F43" i="48" s="1"/>
  <c r="O59" i="1"/>
  <c r="O28" i="1"/>
  <c r="N37" i="48"/>
  <c r="N62" i="48" s="1"/>
  <c r="N96" i="48"/>
  <c r="K43" i="2819"/>
  <c r="Q27" i="48"/>
  <c r="Q31" i="48" s="1"/>
  <c r="K91" i="48"/>
  <c r="K71" i="1"/>
  <c r="K19" i="2892"/>
  <c r="K15" i="2892" s="1"/>
  <c r="O20" i="1"/>
  <c r="G68" i="48"/>
  <c r="G69" i="48" s="1"/>
  <c r="G39" i="48"/>
  <c r="G94" i="48"/>
  <c r="G97" i="48" s="1"/>
  <c r="C43" i="4" s="1"/>
  <c r="C44" i="4" s="1"/>
  <c r="L84" i="48"/>
  <c r="I60" i="48"/>
  <c r="J60" i="48"/>
  <c r="I75" i="48"/>
  <c r="I122" i="48"/>
  <c r="F55" i="2819"/>
  <c r="J47" i="2892"/>
  <c r="K31" i="2892"/>
  <c r="J120" i="48"/>
  <c r="J121" i="48"/>
  <c r="J31" i="2892"/>
  <c r="O83" i="48" l="1"/>
  <c r="O90" i="48"/>
  <c r="K36" i="2819"/>
  <c r="K38" i="2819" s="1"/>
  <c r="K39" i="2819" s="1"/>
  <c r="P20" i="2911"/>
  <c r="P65" i="2892"/>
  <c r="P64" i="2892"/>
  <c r="P22" i="1"/>
  <c r="P19" i="2911"/>
  <c r="P29" i="2911" s="1"/>
  <c r="P30" i="2911" s="1"/>
  <c r="K126" i="48"/>
  <c r="K127" i="48"/>
  <c r="I24" i="48"/>
  <c r="J12" i="2911"/>
  <c r="J57" i="2892"/>
  <c r="I38" i="48"/>
  <c r="I67" i="48"/>
  <c r="I89" i="48"/>
  <c r="M14" i="2892"/>
  <c r="L14" i="2892"/>
  <c r="K60" i="48"/>
  <c r="I55" i="2819"/>
  <c r="C12" i="2897"/>
  <c r="G41" i="48"/>
  <c r="G43" i="48" s="1"/>
  <c r="P48" i="1"/>
  <c r="P76" i="1"/>
  <c r="O95" i="48"/>
  <c r="O34" i="48"/>
  <c r="L37" i="2819"/>
  <c r="G13" i="2819"/>
  <c r="G15" i="2819" s="1"/>
  <c r="G16" i="2819" s="1"/>
  <c r="L64" i="1"/>
  <c r="L73" i="1"/>
  <c r="L63" i="1"/>
  <c r="L20" i="2892"/>
  <c r="K11" i="48"/>
  <c r="K17" i="48" s="1"/>
  <c r="L24" i="2892"/>
  <c r="L27" i="2892" s="1"/>
  <c r="L11" i="52"/>
  <c r="K50" i="48"/>
  <c r="K53" i="48" s="1"/>
  <c r="G11" i="2897"/>
  <c r="L13" i="2892"/>
  <c r="K62" i="1"/>
  <c r="K66" i="1" s="1"/>
  <c r="K56" i="1" s="1"/>
  <c r="J55" i="1"/>
  <c r="Q58" i="48"/>
  <c r="Q82" i="48"/>
  <c r="I34" i="2892"/>
  <c r="I36" i="2892" s="1"/>
  <c r="Q44" i="1"/>
  <c r="Q49" i="1"/>
  <c r="Q53" i="1"/>
  <c r="M49" i="2819" s="1"/>
  <c r="Q54" i="1"/>
  <c r="Q58" i="1"/>
  <c r="R11" i="2892"/>
  <c r="R25" i="2892"/>
  <c r="R19" i="1"/>
  <c r="R41" i="2892"/>
  <c r="N59" i="48"/>
  <c r="O52" i="1"/>
  <c r="O63" i="2892"/>
  <c r="O18" i="2911"/>
  <c r="O27" i="2911" s="1"/>
  <c r="O28" i="2911" s="1"/>
  <c r="O17" i="2911"/>
  <c r="N109" i="48"/>
  <c r="P48" i="2892"/>
  <c r="O62" i="2892"/>
  <c r="N16" i="48"/>
  <c r="N36" i="48"/>
  <c r="N61" i="48"/>
  <c r="J42" i="2819"/>
  <c r="J44" i="2819" s="1"/>
  <c r="J45" i="2819" s="1"/>
  <c r="N92" i="48"/>
  <c r="J35" i="4" s="1"/>
  <c r="J36" i="4" s="1"/>
  <c r="F45" i="48"/>
  <c r="F57" i="48"/>
  <c r="F64" i="48" s="1"/>
  <c r="B13" i="4" s="1"/>
  <c r="B14" i="4" s="1"/>
  <c r="Q25" i="2892"/>
  <c r="P28" i="1"/>
  <c r="O37" i="48"/>
  <c r="O62" i="48" s="1"/>
  <c r="L43" i="2819"/>
  <c r="O96" i="48"/>
  <c r="N25" i="2911"/>
  <c r="N26" i="2911" s="1"/>
  <c r="M121" i="48"/>
  <c r="N57" i="1"/>
  <c r="M29" i="1"/>
  <c r="M23" i="2911"/>
  <c r="M24" i="2911" s="1"/>
  <c r="M35" i="2911" s="1"/>
  <c r="R44" i="1"/>
  <c r="R58" i="1"/>
  <c r="R49" i="1"/>
  <c r="R53" i="1"/>
  <c r="R54" i="1"/>
  <c r="J71" i="1"/>
  <c r="J19" i="2892"/>
  <c r="J15" i="2892" s="1"/>
  <c r="L60" i="48"/>
  <c r="L126" i="48"/>
  <c r="L127" i="48" s="1"/>
  <c r="L75" i="1"/>
  <c r="M35" i="2892"/>
  <c r="L35" i="2892"/>
  <c r="J56" i="48"/>
  <c r="K58" i="2892"/>
  <c r="K13" i="2911"/>
  <c r="J80" i="48"/>
  <c r="J86" i="48" s="1"/>
  <c r="N83" i="48"/>
  <c r="N90" i="48"/>
  <c r="J31" i="4" s="1"/>
  <c r="J32" i="4" s="1"/>
  <c r="J36" i="2819"/>
  <c r="J38" i="2819" s="1"/>
  <c r="J39" i="2819" s="1"/>
  <c r="O65" i="2892"/>
  <c r="O20" i="2911"/>
  <c r="O19" i="2911"/>
  <c r="O29" i="2911" s="1"/>
  <c r="O30" i="2911" s="1"/>
  <c r="O22" i="1"/>
  <c r="O64" i="2892"/>
  <c r="K21" i="2892"/>
  <c r="K43" i="2892"/>
  <c r="K44" i="2892"/>
  <c r="K30" i="2892"/>
  <c r="K32" i="2892" s="1"/>
  <c r="J74" i="48"/>
  <c r="J77" i="48" s="1"/>
  <c r="F54" i="2819"/>
  <c r="F56" i="2819" s="1"/>
  <c r="F57" i="2819" s="1"/>
  <c r="P59" i="1"/>
  <c r="M120" i="48"/>
  <c r="N23" i="1"/>
  <c r="M84" i="48" s="1"/>
  <c r="H39" i="48"/>
  <c r="H94" i="48"/>
  <c r="H97" i="48" s="1"/>
  <c r="D43" i="4" s="1"/>
  <c r="D44" i="4" s="1"/>
  <c r="H68" i="48"/>
  <c r="H69" i="48" s="1"/>
  <c r="K34" i="2892" l="1"/>
  <c r="K36" i="2892" s="1"/>
  <c r="K122" i="48"/>
  <c r="K75" i="48"/>
  <c r="H55" i="2819"/>
  <c r="L47" i="2892"/>
  <c r="M31" i="2892"/>
  <c r="L120" i="48"/>
  <c r="L121" i="48"/>
  <c r="L31" i="2892"/>
  <c r="R59" i="1"/>
  <c r="J14" i="2819"/>
  <c r="N77" i="1"/>
  <c r="M51" i="48"/>
  <c r="M125" i="48"/>
  <c r="N56" i="2892"/>
  <c r="N11" i="2911"/>
  <c r="N26" i="2892"/>
  <c r="N12" i="2892"/>
  <c r="O25" i="2911"/>
  <c r="O26" i="2911" s="1"/>
  <c r="O57" i="1"/>
  <c r="R42" i="2892"/>
  <c r="Q100" i="48"/>
  <c r="R64" i="2892"/>
  <c r="Q59" i="1"/>
  <c r="Q48" i="1"/>
  <c r="R20" i="1"/>
  <c r="Q76" i="1"/>
  <c r="P34" i="48"/>
  <c r="P95" i="48"/>
  <c r="M37" i="2819"/>
  <c r="K24" i="48"/>
  <c r="L12" i="2911"/>
  <c r="L57" i="2892"/>
  <c r="L71" i="1"/>
  <c r="L19" i="2892"/>
  <c r="L15" i="2892" s="1"/>
  <c r="O59" i="48"/>
  <c r="G45" i="48"/>
  <c r="G57" i="48"/>
  <c r="G64" i="48" s="1"/>
  <c r="C13" i="4" s="1"/>
  <c r="C14" i="4" s="1"/>
  <c r="K31" i="4"/>
  <c r="K32" i="4" s="1"/>
  <c r="N74" i="1"/>
  <c r="M101" i="48"/>
  <c r="M103" i="48" s="1"/>
  <c r="M108" i="48" s="1"/>
  <c r="M116" i="48" s="1"/>
  <c r="O27" i="1"/>
  <c r="O23" i="1"/>
  <c r="N84" i="48"/>
  <c r="N91" i="48"/>
  <c r="R28" i="1"/>
  <c r="Q37" i="48"/>
  <c r="Q62" i="48" s="1"/>
  <c r="Q96" i="48"/>
  <c r="R48" i="1"/>
  <c r="R76" i="1"/>
  <c r="Q34" i="48"/>
  <c r="Q95" i="48"/>
  <c r="Q28" i="1"/>
  <c r="P37" i="48"/>
  <c r="P62" i="48" s="1"/>
  <c r="P96" i="48"/>
  <c r="M43" i="2819"/>
  <c r="I39" i="48"/>
  <c r="E12" i="2897" s="1"/>
  <c r="I68" i="48"/>
  <c r="I94" i="48"/>
  <c r="I97" i="48" s="1"/>
  <c r="E43" i="4" s="1"/>
  <c r="E44" i="4" s="1"/>
  <c r="K67" i="48"/>
  <c r="K38" i="48"/>
  <c r="K89" i="48"/>
  <c r="Q20" i="1"/>
  <c r="L122" i="48"/>
  <c r="I69" i="48"/>
  <c r="I56" i="48"/>
  <c r="J13" i="2911"/>
  <c r="I80" i="48"/>
  <c r="I86" i="48" s="1"/>
  <c r="J58" i="2892"/>
  <c r="O16" i="48"/>
  <c r="O61" i="48"/>
  <c r="O36" i="48"/>
  <c r="K42" i="2819"/>
  <c r="K44" i="2819" s="1"/>
  <c r="K45" i="2819" s="1"/>
  <c r="O92" i="48"/>
  <c r="K35" i="4" s="1"/>
  <c r="K36" i="4" s="1"/>
  <c r="L62" i="1"/>
  <c r="L66" i="1" s="1"/>
  <c r="L56" i="1" s="1"/>
  <c r="K55" i="1"/>
  <c r="P52" i="1"/>
  <c r="P18" i="2911"/>
  <c r="P27" i="2911" s="1"/>
  <c r="P28" i="2911" s="1"/>
  <c r="P63" i="2892"/>
  <c r="P17" i="2911"/>
  <c r="O109" i="48"/>
  <c r="Q48" i="2892"/>
  <c r="P62" i="2892"/>
  <c r="L75" i="48"/>
  <c r="I41" i="48"/>
  <c r="I43" i="48" s="1"/>
  <c r="D12" i="2897"/>
  <c r="H41" i="48"/>
  <c r="H43" i="48" s="1"/>
  <c r="N25" i="1"/>
  <c r="M91" i="48"/>
  <c r="N27" i="1"/>
  <c r="J21" i="2892"/>
  <c r="J30" i="2892"/>
  <c r="J32" i="2892" s="1"/>
  <c r="J43" i="2892"/>
  <c r="J44" i="2892"/>
  <c r="I74" i="48"/>
  <c r="I77" i="48" s="1"/>
  <c r="E54" i="2819"/>
  <c r="E56" i="2819" s="1"/>
  <c r="E57" i="2819" s="1"/>
  <c r="H13" i="2819"/>
  <c r="H15" i="2819" s="1"/>
  <c r="H16" i="2819" s="1"/>
  <c r="M63" i="1"/>
  <c r="M24" i="2892"/>
  <c r="M27" i="2892" s="1"/>
  <c r="M73" i="1"/>
  <c r="L11" i="48"/>
  <c r="L17" i="48" s="1"/>
  <c r="M20" i="2892"/>
  <c r="M64" i="1"/>
  <c r="M11" i="52"/>
  <c r="H11" i="2897"/>
  <c r="L50" i="48"/>
  <c r="L53" i="48" s="1"/>
  <c r="M13" i="2892"/>
  <c r="M47" i="2892"/>
  <c r="P27" i="1"/>
  <c r="P25" i="1"/>
  <c r="P23" i="1"/>
  <c r="O84" i="48"/>
  <c r="O91" i="48"/>
  <c r="I45" i="48" l="1"/>
  <c r="I57" i="48"/>
  <c r="P29" i="1"/>
  <c r="P23" i="2911"/>
  <c r="P24" i="2911" s="1"/>
  <c r="H45" i="48"/>
  <c r="H57" i="48"/>
  <c r="H64" i="48" s="1"/>
  <c r="D13" i="4" s="1"/>
  <c r="D14" i="4" s="1"/>
  <c r="J39" i="48"/>
  <c r="J68" i="48"/>
  <c r="J69" i="48" s="1"/>
  <c r="J94" i="48"/>
  <c r="J97" i="48" s="1"/>
  <c r="F43" i="4" s="1"/>
  <c r="F44" i="4" s="1"/>
  <c r="P83" i="48"/>
  <c r="P90" i="48"/>
  <c r="L31" i="4" s="1"/>
  <c r="L32" i="4" s="1"/>
  <c r="L36" i="2819"/>
  <c r="L38" i="2819" s="1"/>
  <c r="L39" i="2819" s="1"/>
  <c r="Q65" i="2892"/>
  <c r="Q20" i="2911"/>
  <c r="Q22" i="1"/>
  <c r="Q64" i="2892"/>
  <c r="Q19" i="2911"/>
  <c r="Q29" i="2911" s="1"/>
  <c r="Q30" i="2911" s="1"/>
  <c r="R52" i="1"/>
  <c r="R63" i="2892"/>
  <c r="R18" i="2911"/>
  <c r="R27" i="2911" s="1"/>
  <c r="R28" i="2911" s="1"/>
  <c r="Q109" i="48"/>
  <c r="R17" i="2911"/>
  <c r="R62" i="2892"/>
  <c r="N15" i="48"/>
  <c r="N35" i="48"/>
  <c r="N93" i="48"/>
  <c r="J39" i="4" s="1"/>
  <c r="J40" i="4" s="1"/>
  <c r="J48" i="2819"/>
  <c r="J50" i="2819" s="1"/>
  <c r="J51" i="2819" s="1"/>
  <c r="P59" i="48"/>
  <c r="K14" i="2819"/>
  <c r="O77" i="1"/>
  <c r="N51" i="48"/>
  <c r="N125" i="48"/>
  <c r="O56" i="2892"/>
  <c r="O11" i="2911"/>
  <c r="M127" i="48"/>
  <c r="M126" i="48"/>
  <c r="O12" i="2892"/>
  <c r="L24" i="48"/>
  <c r="M57" i="2892"/>
  <c r="M12" i="2911"/>
  <c r="M15" i="48"/>
  <c r="M35" i="48"/>
  <c r="M93" i="48"/>
  <c r="I39" i="4" s="1"/>
  <c r="I40" i="4" s="1"/>
  <c r="I48" i="2819"/>
  <c r="I50" i="2819" s="1"/>
  <c r="I51" i="2819" s="1"/>
  <c r="M62" i="1"/>
  <c r="M66" i="1" s="1"/>
  <c r="M56" i="1" s="1"/>
  <c r="L55" i="1"/>
  <c r="N14" i="2892"/>
  <c r="O26" i="2892"/>
  <c r="O15" i="48"/>
  <c r="O35" i="48"/>
  <c r="O93" i="48"/>
  <c r="K39" i="4" s="1"/>
  <c r="K40" i="4" s="1"/>
  <c r="K48" i="2819"/>
  <c r="K50" i="2819" s="1"/>
  <c r="K51" i="2819" s="1"/>
  <c r="M71" i="1"/>
  <c r="M19" i="2892"/>
  <c r="M15" i="2892" s="1"/>
  <c r="P36" i="48"/>
  <c r="P16" i="48"/>
  <c r="P92" i="48"/>
  <c r="L35" i="4" s="1"/>
  <c r="L36" i="4" s="1"/>
  <c r="P61" i="48"/>
  <c r="L42" i="2819"/>
  <c r="L44" i="2819" s="1"/>
  <c r="L45" i="2819" s="1"/>
  <c r="Q59" i="48"/>
  <c r="O74" i="1"/>
  <c r="O72" i="1" s="1"/>
  <c r="O33" i="2892" s="1"/>
  <c r="N101" i="48"/>
  <c r="N103" i="48" s="1"/>
  <c r="N108" i="48" s="1"/>
  <c r="N116" i="48" s="1"/>
  <c r="P14" i="2892" s="1"/>
  <c r="N72" i="1"/>
  <c r="N33" i="2892" s="1"/>
  <c r="K56" i="48"/>
  <c r="L13" i="2911"/>
  <c r="K80" i="48"/>
  <c r="K86" i="48" s="1"/>
  <c r="L58" i="2892"/>
  <c r="Q83" i="48"/>
  <c r="Q90" i="48"/>
  <c r="M31" i="4" s="1"/>
  <c r="M32" i="4" s="1"/>
  <c r="M36" i="2819"/>
  <c r="M38" i="2819" s="1"/>
  <c r="M39" i="2819" s="1"/>
  <c r="R20" i="2911"/>
  <c r="R65" i="2892"/>
  <c r="N75" i="1"/>
  <c r="O35" i="2892"/>
  <c r="N35" i="2892"/>
  <c r="P74" i="1"/>
  <c r="P72" i="1" s="1"/>
  <c r="P33" i="2892" s="1"/>
  <c r="O101" i="48"/>
  <c r="O103" i="48" s="1"/>
  <c r="O108" i="48" s="1"/>
  <c r="O116" i="48" s="1"/>
  <c r="L38" i="48"/>
  <c r="L89" i="48"/>
  <c r="L67" i="48"/>
  <c r="J34" i="2892"/>
  <c r="J36" i="2892" s="1"/>
  <c r="N29" i="1"/>
  <c r="N23" i="2911"/>
  <c r="N24" i="2911" s="1"/>
  <c r="N35" i="2911" s="1"/>
  <c r="P25" i="2911"/>
  <c r="P26" i="2911" s="1"/>
  <c r="P57" i="1"/>
  <c r="I64" i="48"/>
  <c r="E13" i="4" s="1"/>
  <c r="E14" i="4" s="1"/>
  <c r="Q16" i="48"/>
  <c r="Q36" i="48"/>
  <c r="Q61" i="48"/>
  <c r="Q92" i="48"/>
  <c r="M35" i="4" s="1"/>
  <c r="M36" i="4" s="1"/>
  <c r="M42" i="2819"/>
  <c r="M44" i="2819" s="1"/>
  <c r="M45" i="2819" s="1"/>
  <c r="O25" i="1"/>
  <c r="L30" i="2892"/>
  <c r="L32" i="2892" s="1"/>
  <c r="L44" i="2892"/>
  <c r="L21" i="2892"/>
  <c r="L43" i="2892"/>
  <c r="G54" i="2819"/>
  <c r="G56" i="2819" s="1"/>
  <c r="G57" i="2819" s="1"/>
  <c r="K74" i="48"/>
  <c r="K77" i="48" s="1"/>
  <c r="Q52" i="1"/>
  <c r="Q63" i="2892"/>
  <c r="Q18" i="2911"/>
  <c r="Q27" i="2911" s="1"/>
  <c r="Q28" i="2911" s="1"/>
  <c r="Q62" i="2892"/>
  <c r="R48" i="2892"/>
  <c r="Q17" i="2911"/>
  <c r="P109" i="48"/>
  <c r="R19" i="2911"/>
  <c r="R29" i="2911" s="1"/>
  <c r="R30" i="2911" s="1"/>
  <c r="R22" i="1"/>
  <c r="Q25" i="2911" l="1"/>
  <c r="Q26" i="2911" s="1"/>
  <c r="Q57" i="1"/>
  <c r="Q26" i="2892" s="1"/>
  <c r="L14" i="2819"/>
  <c r="P77" i="1"/>
  <c r="Q12" i="2892"/>
  <c r="O51" i="48"/>
  <c r="O125" i="48"/>
  <c r="P56" i="2892"/>
  <c r="P11" i="2911"/>
  <c r="I13" i="2819"/>
  <c r="I15" i="2819" s="1"/>
  <c r="I16" i="2819" s="1"/>
  <c r="N63" i="1"/>
  <c r="N20" i="2892"/>
  <c r="N73" i="1"/>
  <c r="N24" i="2892"/>
  <c r="N27" i="2892" s="1"/>
  <c r="N64" i="1"/>
  <c r="M11" i="48"/>
  <c r="M17" i="48" s="1"/>
  <c r="M50" i="48"/>
  <c r="M53" i="48" s="1"/>
  <c r="N11" i="52"/>
  <c r="I11" i="2897"/>
  <c r="N13" i="2892"/>
  <c r="B46" i="2819"/>
  <c r="B60" i="2819" s="1"/>
  <c r="M30" i="2892"/>
  <c r="M32" i="2892" s="1"/>
  <c r="M43" i="2892"/>
  <c r="M44" i="2892"/>
  <c r="M21" i="2892"/>
  <c r="L74" i="48"/>
  <c r="L77" i="48" s="1"/>
  <c r="H54" i="2819"/>
  <c r="H56" i="2819" s="1"/>
  <c r="H57" i="2819" s="1"/>
  <c r="N62" i="1"/>
  <c r="N66" i="1" s="1"/>
  <c r="N56" i="1" s="1"/>
  <c r="M55" i="1"/>
  <c r="M60" i="48"/>
  <c r="L80" i="48"/>
  <c r="L86" i="48" s="1"/>
  <c r="M58" i="2892"/>
  <c r="L56" i="48"/>
  <c r="M13" i="2911"/>
  <c r="Q23" i="1"/>
  <c r="Q27" i="1"/>
  <c r="B33" i="4"/>
  <c r="B46" i="4" s="1"/>
  <c r="P35" i="2911"/>
  <c r="R23" i="1"/>
  <c r="Q84" i="48"/>
  <c r="O29" i="1"/>
  <c r="O13" i="2892" s="1"/>
  <c r="O23" i="2911"/>
  <c r="O24" i="2911" s="1"/>
  <c r="O35" i="2911" s="1"/>
  <c r="O14" i="2892"/>
  <c r="O75" i="1"/>
  <c r="P35" i="2892"/>
  <c r="N60" i="48"/>
  <c r="R25" i="2911"/>
  <c r="R26" i="2911" s="1"/>
  <c r="R57" i="1"/>
  <c r="F12" i="2897"/>
  <c r="J41" i="48"/>
  <c r="J43" i="48" s="1"/>
  <c r="K13" i="2819"/>
  <c r="K15" i="2819" s="1"/>
  <c r="K16" i="2819" s="1"/>
  <c r="P64" i="1"/>
  <c r="P63" i="1"/>
  <c r="P73" i="1"/>
  <c r="P20" i="2892"/>
  <c r="O11" i="48"/>
  <c r="O17" i="48" s="1"/>
  <c r="P24" i="2892"/>
  <c r="O50" i="48"/>
  <c r="O53" i="48" s="1"/>
  <c r="P11" i="52"/>
  <c r="K11" i="2897"/>
  <c r="L34" i="2892"/>
  <c r="L36" i="2892" s="1"/>
  <c r="B37" i="4"/>
  <c r="B47" i="4" s="1"/>
  <c r="P26" i="2892"/>
  <c r="P12" i="2892"/>
  <c r="M75" i="48"/>
  <c r="M122" i="48"/>
  <c r="J55" i="2819"/>
  <c r="N47" i="2892"/>
  <c r="O31" i="2892"/>
  <c r="N31" i="2892"/>
  <c r="N120" i="48"/>
  <c r="N121" i="48"/>
  <c r="O60" i="48"/>
  <c r="K39" i="48"/>
  <c r="K68" i="48"/>
  <c r="K69" i="48" s="1"/>
  <c r="K94" i="48"/>
  <c r="K97" i="48" s="1"/>
  <c r="G43" i="4" s="1"/>
  <c r="G44" i="4" s="1"/>
  <c r="N127" i="48"/>
  <c r="N126" i="48"/>
  <c r="B40" i="2819"/>
  <c r="B59" i="2819" s="1"/>
  <c r="O24" i="48" l="1"/>
  <c r="P12" i="2911"/>
  <c r="P57" i="2892"/>
  <c r="O38" i="48"/>
  <c r="O67" i="48"/>
  <c r="O89" i="48"/>
  <c r="R77" i="1"/>
  <c r="R75" i="1" s="1"/>
  <c r="Q51" i="48"/>
  <c r="Q125" i="48"/>
  <c r="R11" i="2911"/>
  <c r="R56" i="2892"/>
  <c r="P15" i="48"/>
  <c r="P35" i="48"/>
  <c r="P93" i="48"/>
  <c r="L39" i="4" s="1"/>
  <c r="L40" i="4" s="1"/>
  <c r="L48" i="2819"/>
  <c r="L50" i="2819" s="1"/>
  <c r="L51" i="2819" s="1"/>
  <c r="M24" i="48"/>
  <c r="N12" i="2911"/>
  <c r="N57" i="2892"/>
  <c r="R74" i="1"/>
  <c r="Q101" i="48"/>
  <c r="Q103" i="48" s="1"/>
  <c r="Q108" i="48" s="1"/>
  <c r="Q116" i="48" s="1"/>
  <c r="Q74" i="1"/>
  <c r="Q72" i="1" s="1"/>
  <c r="Q33" i="2892" s="1"/>
  <c r="P101" i="48"/>
  <c r="P103" i="48" s="1"/>
  <c r="P108" i="48" s="1"/>
  <c r="P116" i="48" s="1"/>
  <c r="M34" i="2892"/>
  <c r="M36" i="2892"/>
  <c r="M38" i="48"/>
  <c r="M67" i="48"/>
  <c r="M89" i="48"/>
  <c r="M14" i="2819"/>
  <c r="Q77" i="1"/>
  <c r="R12" i="2892"/>
  <c r="P51" i="48"/>
  <c r="P125" i="48"/>
  <c r="Q56" i="2892"/>
  <c r="R26" i="2892"/>
  <c r="Q11" i="2911"/>
  <c r="P27" i="2892"/>
  <c r="P71" i="1"/>
  <c r="P19" i="2892"/>
  <c r="P15" i="2892" s="1"/>
  <c r="J45" i="48"/>
  <c r="J57" i="48"/>
  <c r="J64" i="48" s="1"/>
  <c r="F13" i="4" s="1"/>
  <c r="F14" i="4" s="1"/>
  <c r="N75" i="48"/>
  <c r="N122" i="48"/>
  <c r="K55" i="2819"/>
  <c r="O47" i="2892"/>
  <c r="O120" i="48"/>
  <c r="O121" i="48"/>
  <c r="J13" i="2819"/>
  <c r="J15" i="2819" s="1"/>
  <c r="J16" i="2819" s="1"/>
  <c r="B18" i="2819" s="1"/>
  <c r="O64" i="1"/>
  <c r="P13" i="2892"/>
  <c r="O63" i="1"/>
  <c r="O20" i="2892"/>
  <c r="O24" i="2892"/>
  <c r="O27" i="2892" s="1"/>
  <c r="N11" i="48"/>
  <c r="N17" i="48" s="1"/>
  <c r="O73" i="1"/>
  <c r="N50" i="48"/>
  <c r="N53" i="48" s="1"/>
  <c r="O11" i="52"/>
  <c r="J11" i="2897"/>
  <c r="R27" i="1"/>
  <c r="P91" i="48"/>
  <c r="Q25" i="1"/>
  <c r="L39" i="48"/>
  <c r="L94" i="48"/>
  <c r="L97" i="48" s="1"/>
  <c r="H43" i="4" s="1"/>
  <c r="H44" i="4" s="1"/>
  <c r="L68" i="48"/>
  <c r="L69" i="48" s="1"/>
  <c r="G12" i="2897"/>
  <c r="K41" i="48"/>
  <c r="K43" i="48" s="1"/>
  <c r="Q91" i="48"/>
  <c r="R25" i="1"/>
  <c r="P84" i="48"/>
  <c r="O62" i="1"/>
  <c r="O66" i="1" s="1"/>
  <c r="O56" i="1" s="1"/>
  <c r="N55" i="1"/>
  <c r="N71" i="1"/>
  <c r="N19" i="2892"/>
  <c r="N15" i="2892" s="1"/>
  <c r="O127" i="48"/>
  <c r="O126" i="48"/>
  <c r="P75" i="1"/>
  <c r="P31" i="2892" s="1"/>
  <c r="Q35" i="2892"/>
  <c r="Q15" i="48" l="1"/>
  <c r="Q35" i="48"/>
  <c r="Q93" i="48"/>
  <c r="M39" i="4" s="1"/>
  <c r="M40" i="4" s="1"/>
  <c r="M48" i="2819"/>
  <c r="M50" i="2819" s="1"/>
  <c r="M51" i="2819" s="1"/>
  <c r="O71" i="1"/>
  <c r="O19" i="2892"/>
  <c r="O15" i="2892" s="1"/>
  <c r="B52" i="2819"/>
  <c r="B61" i="2819" s="1"/>
  <c r="K45" i="48"/>
  <c r="K57" i="48"/>
  <c r="K64" i="48" s="1"/>
  <c r="G13" i="4" s="1"/>
  <c r="G14" i="4" s="1"/>
  <c r="H12" i="2897"/>
  <c r="L41" i="48"/>
  <c r="L43" i="48" s="1"/>
  <c r="N24" i="48"/>
  <c r="O57" i="2892"/>
  <c r="O12" i="2911"/>
  <c r="B41" i="4"/>
  <c r="B48" i="4" s="1"/>
  <c r="N21" i="2892"/>
  <c r="N30" i="2892"/>
  <c r="N32" i="2892" s="1"/>
  <c r="N43" i="2892"/>
  <c r="N44" i="2892"/>
  <c r="M74" i="48"/>
  <c r="M77" i="48" s="1"/>
  <c r="I54" i="2819"/>
  <c r="I56" i="2819" s="1"/>
  <c r="I57" i="2819" s="1"/>
  <c r="R29" i="1"/>
  <c r="R23" i="2911"/>
  <c r="R24" i="2911" s="1"/>
  <c r="R35" i="2911" s="1"/>
  <c r="M39" i="48"/>
  <c r="I12" i="2897" s="1"/>
  <c r="M68" i="48"/>
  <c r="M69" i="48" s="1"/>
  <c r="M94" i="48"/>
  <c r="M97" i="48" s="1"/>
  <c r="I43" i="4" s="1"/>
  <c r="I44" i="4" s="1"/>
  <c r="Q29" i="1"/>
  <c r="Q23" i="2911"/>
  <c r="Q24" i="2911" s="1"/>
  <c r="Q35" i="2911" s="1"/>
  <c r="N38" i="48"/>
  <c r="N67" i="48"/>
  <c r="N89" i="48"/>
  <c r="P30" i="2892"/>
  <c r="P32" i="2892" s="1"/>
  <c r="P44" i="2892"/>
  <c r="P21" i="2892"/>
  <c r="P43" i="2892"/>
  <c r="K54" i="2819"/>
  <c r="K56" i="2819" s="1"/>
  <c r="K57" i="2819" s="1"/>
  <c r="O74" i="48"/>
  <c r="O77" i="48" s="1"/>
  <c r="R72" i="1"/>
  <c r="R33" i="2892" s="1"/>
  <c r="M56" i="48"/>
  <c r="N13" i="2911"/>
  <c r="M80" i="48"/>
  <c r="M86" i="48" s="1"/>
  <c r="N58" i="2892"/>
  <c r="P60" i="48"/>
  <c r="Q126" i="48"/>
  <c r="Q127" i="48"/>
  <c r="O75" i="48"/>
  <c r="O122" i="48"/>
  <c r="L55" i="2819"/>
  <c r="P47" i="2892"/>
  <c r="P120" i="48"/>
  <c r="P121" i="48"/>
  <c r="P62" i="1"/>
  <c r="P66" i="1" s="1"/>
  <c r="P56" i="1" s="1"/>
  <c r="O55" i="1"/>
  <c r="P126" i="48"/>
  <c r="P127" i="48" s="1"/>
  <c r="Q75" i="1"/>
  <c r="R47" i="2892" s="1"/>
  <c r="R35" i="2892"/>
  <c r="M41" i="48"/>
  <c r="M43" i="48" s="1"/>
  <c r="R14" i="2892"/>
  <c r="Q14" i="2892"/>
  <c r="O56" i="48"/>
  <c r="P13" i="2911"/>
  <c r="P58" i="2892"/>
  <c r="O80" i="48"/>
  <c r="O86" i="48" s="1"/>
  <c r="M45" i="48" l="1"/>
  <c r="M57" i="48"/>
  <c r="M64" i="48" s="1"/>
  <c r="I13" i="4" s="1"/>
  <c r="I14" i="4" s="1"/>
  <c r="Q62" i="1"/>
  <c r="P55" i="1"/>
  <c r="N56" i="48"/>
  <c r="O58" i="2892"/>
  <c r="O13" i="2911"/>
  <c r="N80" i="48"/>
  <c r="N86" i="48" s="1"/>
  <c r="Q75" i="48"/>
  <c r="P34" i="2892"/>
  <c r="P36" i="2892"/>
  <c r="M13" i="2819"/>
  <c r="M15" i="2819" s="1"/>
  <c r="M16" i="2819" s="1"/>
  <c r="R64" i="1"/>
  <c r="R20" i="2892"/>
  <c r="R73" i="1"/>
  <c r="R24" i="2892"/>
  <c r="R27" i="2892" s="1"/>
  <c r="Q11" i="48"/>
  <c r="Q17" i="48" s="1"/>
  <c r="Q50" i="48"/>
  <c r="Q53" i="48" s="1"/>
  <c r="R63" i="1"/>
  <c r="R11" i="52"/>
  <c r="M11" i="2897"/>
  <c r="L45" i="48"/>
  <c r="L57" i="48"/>
  <c r="L64" i="48" s="1"/>
  <c r="H13" i="4" s="1"/>
  <c r="H14" i="4" s="1"/>
  <c r="L13" i="2819"/>
  <c r="L15" i="2819" s="1"/>
  <c r="L16" i="2819" s="1"/>
  <c r="B17" i="2819" s="1"/>
  <c r="B21" i="2819" s="1"/>
  <c r="Q63" i="1"/>
  <c r="Q64" i="1"/>
  <c r="R13" i="2892"/>
  <c r="Q24" i="2892"/>
  <c r="Q27" i="2892" s="1"/>
  <c r="P11" i="48"/>
  <c r="P17" i="48" s="1"/>
  <c r="Q73" i="1"/>
  <c r="Q20" i="2892"/>
  <c r="P50" i="48"/>
  <c r="P53" i="48" s="1"/>
  <c r="Q11" i="52"/>
  <c r="L11" i="2897"/>
  <c r="Q13" i="2892"/>
  <c r="N34" i="2892"/>
  <c r="N36" i="2892"/>
  <c r="Q60" i="48"/>
  <c r="P75" i="48"/>
  <c r="P122" i="48"/>
  <c r="M55" i="2819"/>
  <c r="Q47" i="2892"/>
  <c r="R31" i="2892"/>
  <c r="Q120" i="48"/>
  <c r="Q121" i="48"/>
  <c r="N39" i="48"/>
  <c r="J12" i="2897" s="1"/>
  <c r="N68" i="48"/>
  <c r="N69" i="48" s="1"/>
  <c r="N94" i="48"/>
  <c r="N97" i="48" s="1"/>
  <c r="J43" i="4" s="1"/>
  <c r="J44" i="4" s="1"/>
  <c r="Q31" i="2892"/>
  <c r="Q122" i="48"/>
  <c r="O21" i="2892"/>
  <c r="O30" i="2892"/>
  <c r="O32" i="2892" s="1"/>
  <c r="O43" i="2892"/>
  <c r="O44" i="2892"/>
  <c r="N74" i="48"/>
  <c r="N77" i="48" s="1"/>
  <c r="J54" i="2819"/>
  <c r="J56" i="2819" s="1"/>
  <c r="J57" i="2819" s="1"/>
  <c r="B22" i="2819" l="1"/>
  <c r="B24" i="2819" s="1"/>
  <c r="B27" i="2819" s="1"/>
  <c r="J24" i="2902"/>
  <c r="Q24" i="48"/>
  <c r="R12" i="2911"/>
  <c r="R57" i="2892"/>
  <c r="Q38" i="48"/>
  <c r="Q67" i="48"/>
  <c r="Q89" i="48"/>
  <c r="O68" i="48"/>
  <c r="O69" i="48" s="1"/>
  <c r="O39" i="48"/>
  <c r="O94" i="48"/>
  <c r="O97" i="48" s="1"/>
  <c r="K43" i="4" s="1"/>
  <c r="K44" i="4" s="1"/>
  <c r="Q66" i="1"/>
  <c r="Q56" i="1" s="1"/>
  <c r="Q71" i="1"/>
  <c r="Q19" i="2892"/>
  <c r="P38" i="48"/>
  <c r="P89" i="48"/>
  <c r="P67" i="48"/>
  <c r="R71" i="1"/>
  <c r="R19" i="2892"/>
  <c r="R15" i="2892" s="1"/>
  <c r="N41" i="48"/>
  <c r="N43" i="48" s="1"/>
  <c r="O34" i="2892"/>
  <c r="O36" i="2892" s="1"/>
  <c r="P24" i="48"/>
  <c r="Q57" i="2892"/>
  <c r="Q12" i="2911"/>
  <c r="Q30" i="2892" l="1"/>
  <c r="Q32" i="2892" s="1"/>
  <c r="Q43" i="2892"/>
  <c r="Q44" i="2892"/>
  <c r="Q21" i="2892"/>
  <c r="P74" i="48"/>
  <c r="P77" i="48" s="1"/>
  <c r="L54" i="2819"/>
  <c r="L56" i="2819" s="1"/>
  <c r="L57" i="2819" s="1"/>
  <c r="P80" i="48"/>
  <c r="P86" i="48" s="1"/>
  <c r="Q58" i="2892"/>
  <c r="P56" i="48"/>
  <c r="Q13" i="2911"/>
  <c r="R21" i="2892"/>
  <c r="R30" i="2892"/>
  <c r="R32" i="2892" s="1"/>
  <c r="R43" i="2892"/>
  <c r="R44" i="2892"/>
  <c r="Q74" i="48"/>
  <c r="Q77" i="48" s="1"/>
  <c r="M54" i="2819"/>
  <c r="M56" i="2819" s="1"/>
  <c r="M57" i="2819" s="1"/>
  <c r="Q15" i="2892"/>
  <c r="B13" i="2903"/>
  <c r="R62" i="1"/>
  <c r="R66" i="1" s="1"/>
  <c r="R56" i="1" s="1"/>
  <c r="R55" i="1" s="1"/>
  <c r="Q55" i="1"/>
  <c r="N45" i="48"/>
  <c r="N57" i="48"/>
  <c r="N64" i="48" s="1"/>
  <c r="J13" i="4" s="1"/>
  <c r="J14" i="4" s="1"/>
  <c r="K12" i="2897"/>
  <c r="O41" i="48"/>
  <c r="O43" i="48" s="1"/>
  <c r="Q56" i="48"/>
  <c r="R13" i="2911"/>
  <c r="Q80" i="48"/>
  <c r="Q86" i="48" s="1"/>
  <c r="R58" i="2892"/>
  <c r="B24" i="2902"/>
  <c r="B22" i="2903"/>
  <c r="B7" i="2897"/>
  <c r="B13" i="2897" s="1"/>
  <c r="B14" i="2897" l="1"/>
  <c r="B15" i="2897" s="1"/>
  <c r="P39" i="48"/>
  <c r="P94" i="48"/>
  <c r="P97" i="48" s="1"/>
  <c r="L43" i="4" s="1"/>
  <c r="L44" i="4" s="1"/>
  <c r="P68" i="48"/>
  <c r="P69" i="48" s="1"/>
  <c r="R34" i="2892"/>
  <c r="R36" i="2892"/>
  <c r="O45" i="48"/>
  <c r="O57" i="48"/>
  <c r="O64" i="48" s="1"/>
  <c r="K13" i="4" s="1"/>
  <c r="K14" i="4" s="1"/>
  <c r="B16" i="4" s="1"/>
  <c r="Q39" i="48"/>
  <c r="Q68" i="48"/>
  <c r="Q69" i="48" s="1"/>
  <c r="Q94" i="48"/>
  <c r="Q97" i="48" s="1"/>
  <c r="M43" i="4" s="1"/>
  <c r="M44" i="4" s="1"/>
  <c r="B58" i="2819"/>
  <c r="A7" i="52"/>
  <c r="B24" i="2903"/>
  <c r="A6" i="1"/>
  <c r="A4" i="2902"/>
  <c r="Q34" i="2892"/>
  <c r="Q36" i="2892" s="1"/>
  <c r="B45" i="4" l="1"/>
  <c r="B49" i="4" s="1"/>
  <c r="B50" i="4" s="1"/>
  <c r="B52" i="4" s="1"/>
  <c r="B55" i="4" s="1"/>
  <c r="L12" i="2897"/>
  <c r="P41" i="48"/>
  <c r="P43" i="48" s="1"/>
  <c r="M12" i="2897"/>
  <c r="Q41" i="48"/>
  <c r="Q43" i="48" s="1"/>
  <c r="B16" i="2897"/>
  <c r="B16" i="2903" s="1"/>
  <c r="B23" i="2903" s="1"/>
  <c r="B62" i="2819"/>
  <c r="B63" i="2819" s="1"/>
  <c r="B65" i="2819" s="1"/>
  <c r="B68" i="2819" s="1"/>
  <c r="E24" i="2902" s="1"/>
  <c r="K19" i="2902" s="1"/>
  <c r="A11" i="2819"/>
  <c r="C13" i="2897"/>
  <c r="P45" i="48" l="1"/>
  <c r="P57" i="48"/>
  <c r="P64" i="48" s="1"/>
  <c r="L13" i="4" s="1"/>
  <c r="L14" i="4" s="1"/>
  <c r="C14" i="2897"/>
  <c r="C15" i="2897" s="1"/>
  <c r="D13" i="2897" s="1"/>
  <c r="Q45" i="48"/>
  <c r="Q57" i="48"/>
  <c r="Q64" i="48" s="1"/>
  <c r="M13" i="4" s="1"/>
  <c r="M14" i="4" s="1"/>
  <c r="D14" i="2897" l="1"/>
  <c r="D15" i="2897" s="1"/>
  <c r="B15" i="4"/>
  <c r="B17" i="4" s="1"/>
  <c r="C16" i="2897"/>
  <c r="E13" i="2897" l="1"/>
  <c r="D16" i="2897"/>
  <c r="A11" i="4"/>
  <c r="B18" i="4"/>
  <c r="B20" i="4" s="1"/>
  <c r="B23" i="4" s="1"/>
  <c r="E14" i="2897" l="1"/>
  <c r="E15" i="2897" s="1"/>
  <c r="E16" i="2897" l="1"/>
  <c r="F13" i="2897"/>
  <c r="F14" i="2897" l="1"/>
  <c r="F15" i="2897" s="1"/>
  <c r="F16" i="2897" l="1"/>
  <c r="G13" i="2897"/>
  <c r="G14" i="2897" l="1"/>
  <c r="G15" i="2897" s="1"/>
  <c r="H13" i="2897" s="1"/>
  <c r="G16" i="2897" l="1"/>
  <c r="B19" i="2897" s="1"/>
  <c r="B17" i="2903" s="1"/>
  <c r="H14" i="2897"/>
  <c r="H15" i="2897" s="1"/>
  <c r="I13" i="2897" l="1"/>
  <c r="H16" i="2897"/>
  <c r="I14" i="2897" l="1"/>
  <c r="I15" i="2897" s="1"/>
  <c r="I16" i="2897" l="1"/>
  <c r="J13" i="2897"/>
  <c r="J14" i="2897" l="1"/>
  <c r="J15" i="2897" s="1"/>
  <c r="K13" i="2897" s="1"/>
  <c r="K14" i="2897" l="1"/>
  <c r="K15" i="2897" s="1"/>
  <c r="J16" i="2897"/>
  <c r="L13" i="2897" l="1"/>
  <c r="K16" i="2897"/>
  <c r="L14" i="2897" l="1"/>
  <c r="L15" i="2897" s="1"/>
  <c r="M13" i="2897" s="1"/>
  <c r="M14" i="2897" s="1"/>
  <c r="M15" i="2897" l="1"/>
  <c r="M16" i="2897" s="1"/>
  <c r="L16" i="2897"/>
</calcChain>
</file>

<file path=xl/sharedStrings.xml><?xml version="1.0" encoding="utf-8"?>
<sst xmlns="http://schemas.openxmlformats.org/spreadsheetml/2006/main" count="1492" uniqueCount="579">
  <si>
    <t>Deferred Taxes</t>
    <phoneticPr fontId="1" type="noConversion"/>
  </si>
  <si>
    <t>Long-Term Debt</t>
    <phoneticPr fontId="1" type="noConversion"/>
  </si>
  <si>
    <t>Other Liabilities</t>
    <phoneticPr fontId="1" type="noConversion"/>
  </si>
  <si>
    <t>Deferred Taxes</t>
    <phoneticPr fontId="1" type="noConversion"/>
  </si>
  <si>
    <t>Minority Interest</t>
    <phoneticPr fontId="1" type="noConversion"/>
  </si>
  <si>
    <t>Preferred Stock</t>
    <phoneticPr fontId="1" type="noConversion"/>
  </si>
  <si>
    <t>Investments</t>
    <phoneticPr fontId="1" type="noConversion"/>
  </si>
  <si>
    <t>Intangibles</t>
    <phoneticPr fontId="1" type="noConversion"/>
  </si>
  <si>
    <t>Total Current Assets</t>
    <phoneticPr fontId="0" type="noConversion"/>
  </si>
  <si>
    <t xml:space="preserve"> =Cash From Investing</t>
  </si>
  <si>
    <t xml:space="preserve"> =Cash From Financing</t>
  </si>
  <si>
    <t xml:space="preserve"> +/-Clean Surplus Plug (Ignore)</t>
  </si>
  <si>
    <t xml:space="preserve"> +Cash From Investing</t>
  </si>
  <si>
    <t xml:space="preserve"> +Increase in Preferred Stock</t>
  </si>
  <si>
    <t>Analysis of Earnings Quality</t>
    <phoneticPr fontId="0" type="noConversion"/>
  </si>
  <si>
    <t>Valuation Parameters</t>
    <phoneticPr fontId="0" type="noConversion"/>
  </si>
  <si>
    <t xml:space="preserve"> -Increase in Other Current Assets</t>
  </si>
  <si>
    <t xml:space="preserve"> +Increase in Accounts Payable</t>
  </si>
  <si>
    <t>Minority Interest</t>
    <phoneticPr fontId="1" type="noConversion"/>
  </si>
  <si>
    <t>Preferred Stock</t>
    <phoneticPr fontId="1" type="noConversion"/>
  </si>
  <si>
    <t>Receivables</t>
    <phoneticPr fontId="1" type="noConversion"/>
  </si>
  <si>
    <t>Inventories</t>
    <phoneticPr fontId="1" type="noConversion"/>
  </si>
  <si>
    <t>Ending Inventories/COGS</t>
  </si>
  <si>
    <t>Ending Other Current Assets/Sales</t>
  </si>
  <si>
    <t>Assets</t>
  </si>
  <si>
    <t>Earnings</t>
  </si>
  <si>
    <t>Free Cash Flow to Investors</t>
  </si>
  <si>
    <t xml:space="preserve">Sporting Goods Stores         </t>
  </si>
  <si>
    <t xml:space="preserve">MG740   </t>
  </si>
  <si>
    <t>Cabelas</t>
  </si>
  <si>
    <t>Sporting Goods Industry</t>
  </si>
  <si>
    <t>min decile 5</t>
    <phoneticPr fontId="27" type="noConversion"/>
  </si>
  <si>
    <t>min decile 6</t>
    <phoneticPr fontId="27" type="noConversion"/>
  </si>
  <si>
    <t>min decile 7</t>
    <phoneticPr fontId="27" type="noConversion"/>
  </si>
  <si>
    <t>min decile 8</t>
    <phoneticPr fontId="27" type="noConversion"/>
  </si>
  <si>
    <t>min decile 9</t>
    <phoneticPr fontId="27" type="noConversion"/>
  </si>
  <si>
    <t>STEPS:</t>
  </si>
  <si>
    <t>Paid in Common Capital (Net)</t>
    <phoneticPr fontId="1" type="noConversion"/>
  </si>
  <si>
    <t>Annual Growth Rates</t>
    <phoneticPr fontId="0" type="noConversion"/>
  </si>
  <si>
    <t>Ext. Items &amp; Disc. Ops.</t>
    <phoneticPr fontId="1" type="noConversion"/>
  </si>
  <si>
    <t xml:space="preserve"> = Operating Accruals/NOA</t>
  </si>
  <si>
    <t>New Shares Issued (Repurchased)</t>
  </si>
  <si>
    <t>Shares Outstanding at End of Year</t>
  </si>
  <si>
    <t>Cost of Goods Sold</t>
    <phoneticPr fontId="0" type="noConversion"/>
  </si>
  <si>
    <t>Gross Profit</t>
    <phoneticPr fontId="0" type="noConversion"/>
  </si>
  <si>
    <t>R&amp;D Expense</t>
    <phoneticPr fontId="0" type="noConversion"/>
  </si>
  <si>
    <t>SG&amp;A Expense</t>
    <phoneticPr fontId="0" type="noConversion"/>
  </si>
  <si>
    <t>EBITDA</t>
    <phoneticPr fontId="0" type="noConversion"/>
  </si>
  <si>
    <t>Preferred Stock</t>
  </si>
  <si>
    <t>Common Dividends</t>
    <phoneticPr fontId="0" type="noConversion"/>
  </si>
  <si>
    <t>After Tax Weighted Average Cost of Capital</t>
    <phoneticPr fontId="0" type="noConversion"/>
  </si>
  <si>
    <t>Entity Value</t>
    <phoneticPr fontId="0" type="noConversion"/>
  </si>
  <si>
    <t>Common Shares Outstanding</t>
    <phoneticPr fontId="1" type="noConversion"/>
  </si>
  <si>
    <t xml:space="preserve">OVERSTOCK.COM INC             </t>
  </si>
  <si>
    <t>Sales (Net)</t>
    <phoneticPr fontId="1" type="noConversion"/>
  </si>
  <si>
    <t>Cost of Goods Sold</t>
    <phoneticPr fontId="1" type="noConversion"/>
  </si>
  <si>
    <t>R&amp;D Expense</t>
    <phoneticPr fontId="1" type="noConversion"/>
  </si>
  <si>
    <t>Ratio Analysis</t>
    <phoneticPr fontId="0" type="noConversion"/>
  </si>
  <si>
    <t xml:space="preserve">   Cash From Operations</t>
  </si>
  <si>
    <t xml:space="preserve"> +Cash from Investing</t>
  </si>
  <si>
    <t xml:space="preserve">   Net Operating Income</t>
  </si>
  <si>
    <t>Inventory Holding Period</t>
  </si>
  <si>
    <t>Enter Cost of Equity Capital:</t>
    <phoneticPr fontId="0" type="noConversion"/>
  </si>
  <si>
    <t>Enter Value of Contingent Claims on Common Equity ($000):</t>
    <phoneticPr fontId="0" type="noConversion"/>
  </si>
  <si>
    <t>Present Value of FCF to Debt</t>
  </si>
  <si>
    <t>Present Value of FCF to Preferred Stock</t>
  </si>
  <si>
    <t>Profitability</t>
    <phoneticPr fontId="0" type="noConversion"/>
  </si>
  <si>
    <t>Basic Dupont Model</t>
    <phoneticPr fontId="0" type="noConversion"/>
  </si>
  <si>
    <t>Advanced Dupont Model</t>
    <phoneticPr fontId="0" type="noConversion"/>
  </si>
  <si>
    <t xml:space="preserve">VERIZON COMMUNICATIONS       </t>
  </si>
  <si>
    <t xml:space="preserve">VZ     </t>
  </si>
  <si>
    <t>Forecasted Value as of Valuation Date</t>
    <phoneticPr fontId="0" type="noConversion"/>
  </si>
  <si>
    <t>Less Value of Contingent Equity Claims</t>
    <phoneticPr fontId="0" type="noConversion"/>
  </si>
  <si>
    <t>A Windows vs Macintosh issue can cause the fiscal year end dates to be off by roughly 4 years.  If this occurs, select and copy the 1462 cell below, select the cells with the dates, choose Paste Special Values and select Subtract or Add.</t>
  </si>
  <si>
    <t>Fiscal Year End (YYYY-MM-DD)</t>
  </si>
  <si>
    <t>Apple</t>
  </si>
  <si>
    <t>IBM</t>
  </si>
  <si>
    <t>APPLE INC</t>
  </si>
  <si>
    <t>INTERNATIONAL BUSINESS MACHINES CORP</t>
  </si>
  <si>
    <t>Where to buy the latest 'Equity Valuation and Analysis' textbook</t>
  </si>
  <si>
    <t>AAPL</t>
  </si>
  <si>
    <t>Valuation to All Investors</t>
  </si>
  <si>
    <t>Ending Other Assets/Sales</t>
  </si>
  <si>
    <t>CARNIVAL CORP</t>
  </si>
  <si>
    <t>Income Taxes Payable</t>
    <phoneticPr fontId="1" type="noConversion"/>
  </si>
  <si>
    <t>Other Liabilities</t>
    <phoneticPr fontId="1" type="noConversion"/>
  </si>
  <si>
    <t xml:space="preserve">Enter Cost of Net Debt:   </t>
    <phoneticPr fontId="0" type="noConversion"/>
  </si>
  <si>
    <t>Cost of Net Debt</t>
    <phoneticPr fontId="0" type="noConversion"/>
  </si>
  <si>
    <t>Less Value of Net Debt</t>
    <phoneticPr fontId="0" type="noConversion"/>
  </si>
  <si>
    <t>Net Interest Expense/Avge Net Debt</t>
    <phoneticPr fontId="0" type="noConversion"/>
  </si>
  <si>
    <t>Net Interest Expense to Net Debtholders</t>
    <phoneticPr fontId="0" type="noConversion"/>
  </si>
  <si>
    <t>Income Taxes Payable</t>
    <phoneticPr fontId="1" type="noConversion"/>
  </si>
  <si>
    <t>Required Valuation Parameters (to compute value of common equity):</t>
  </si>
  <si>
    <t>Common Equity</t>
  </si>
  <si>
    <t>($000, except per share amounts)</t>
  </si>
  <si>
    <t>(Red Shading = Quality Flag)</t>
  </si>
  <si>
    <t>Historical Data For:</t>
  </si>
  <si>
    <t>Income Statement</t>
  </si>
  <si>
    <t>Depreciation &amp; Amortization</t>
    <phoneticPr fontId="0" type="noConversion"/>
  </si>
  <si>
    <t>EBIT</t>
    <phoneticPr fontId="0" type="noConversion"/>
  </si>
  <si>
    <t>Non-Operating Income (Loss)</t>
    <phoneticPr fontId="0" type="noConversion"/>
  </si>
  <si>
    <t>EBT</t>
    <phoneticPr fontId="0" type="noConversion"/>
  </si>
  <si>
    <t xml:space="preserve"> = Ending Cash Balance</t>
  </si>
  <si>
    <t>Forecasting Assumptions</t>
    <phoneticPr fontId="0" type="noConversion"/>
  </si>
  <si>
    <t xml:space="preserve"> +Increase in Taxes Payable</t>
  </si>
  <si>
    <t xml:space="preserve"> -Increase in Investments</t>
  </si>
  <si>
    <t xml:space="preserve"> -Increase in Other Assets</t>
  </si>
  <si>
    <t xml:space="preserve"> +Increase in Debt</t>
  </si>
  <si>
    <t xml:space="preserve"> +Increase in Pref. Stock</t>
  </si>
  <si>
    <t>Net Change in Cash</t>
  </si>
  <si>
    <t xml:space="preserve"> =Free Cash Flow to Common Equity</t>
  </si>
  <si>
    <t xml:space="preserve"> +Preferred Dividends</t>
  </si>
  <si>
    <t xml:space="preserve"> +Dividends on Preferred Stock</t>
  </si>
  <si>
    <t>ROYAL CARIBBEAN CRUISES LTD</t>
  </si>
  <si>
    <t xml:space="preserve"> +Minority Interest in Earnings</t>
    <phoneticPr fontId="0" type="noConversion"/>
  </si>
  <si>
    <t xml:space="preserve">CABELA'S INC                  </t>
  </si>
  <si>
    <t xml:space="preserve">CAB     </t>
  </si>
  <si>
    <t>KOHL'S CORP</t>
  </si>
  <si>
    <t>KSS</t>
  </si>
  <si>
    <t>2) examine the Ratio Analysis and Cash Flow Analysis,</t>
    <phoneticPr fontId="0" type="noConversion"/>
  </si>
  <si>
    <t>4) enter cost of capital assumptions on the Valuation Parameters Sheet to determine the company's value,</t>
    <phoneticPr fontId="0" type="noConversion"/>
  </si>
  <si>
    <t xml:space="preserve"> + Beginning Cash Balance</t>
  </si>
  <si>
    <t>x Total Asset Turnover</t>
  </si>
  <si>
    <t xml:space="preserve">   Net Profit Margin</t>
  </si>
  <si>
    <t>x Total Leverage</t>
  </si>
  <si>
    <t>Forecast Equity Value Before Time Adj.</t>
  </si>
  <si>
    <t>Forecast Price/Share</t>
  </si>
  <si>
    <t>Fiscal Year</t>
  </si>
  <si>
    <t>Data can be entered manually in financial statements or as a block cut-and-paste from the Case Data Sheet to the Raw Data Input section below.</t>
    <phoneticPr fontId="0" type="noConversion"/>
  </si>
  <si>
    <t>Company Name and Ticker</t>
    <phoneticPr fontId="1" type="noConversion"/>
  </si>
  <si>
    <t>Common Shares Outstanding (000)</t>
    <phoneticPr fontId="1" type="noConversion"/>
  </si>
  <si>
    <t>NI to TA default rates</t>
    <phoneticPr fontId="27" type="noConversion"/>
  </si>
  <si>
    <t>Common Shares Outstanding (000)</t>
    <phoneticPr fontId="1" type="noConversion"/>
  </si>
  <si>
    <t>min decile 2</t>
    <phoneticPr fontId="27" type="noConversion"/>
  </si>
  <si>
    <t>decile 1</t>
    <phoneticPr fontId="27" type="noConversion"/>
  </si>
  <si>
    <t>min decile 3</t>
    <phoneticPr fontId="27" type="noConversion"/>
  </si>
  <si>
    <t>min decile 4</t>
    <phoneticPr fontId="27" type="noConversion"/>
  </si>
  <si>
    <t>SIRIUS SATELLITE RADIO INC</t>
  </si>
  <si>
    <t>SIRI</t>
  </si>
  <si>
    <t>Common Dividends</t>
  </si>
  <si>
    <t>Sirius</t>
  </si>
  <si>
    <t>Preferred Dividends</t>
    <phoneticPr fontId="1" type="noConversion"/>
  </si>
  <si>
    <t>approximate weighted average</t>
    <phoneticPr fontId="0" type="noConversion"/>
  </si>
  <si>
    <t xml:space="preserve"> -Dividends Paid on Common</t>
  </si>
  <si>
    <t xml:space="preserve"> +Cash From Operations</t>
  </si>
  <si>
    <t xml:space="preserve"> -Net Issuance of Common Stock</t>
  </si>
  <si>
    <t xml:space="preserve"> +Dividends Paid</t>
  </si>
  <si>
    <t xml:space="preserve"> -Taxes on EBIT</t>
  </si>
  <si>
    <t xml:space="preserve"> = NOPLAT</t>
  </si>
  <si>
    <t>x Net Operating Asset Turnover</t>
  </si>
  <si>
    <t>Paid in Common Capital (Net)</t>
  </si>
  <si>
    <t>Retained Earnings</t>
  </si>
  <si>
    <t>Forecasted Value as of Valuation Date</t>
    <phoneticPr fontId="0" type="noConversion"/>
  </si>
  <si>
    <t>Other Assets</t>
    <phoneticPr fontId="0" type="noConversion"/>
  </si>
  <si>
    <t>Total Assets</t>
    <phoneticPr fontId="0" type="noConversion"/>
  </si>
  <si>
    <t>Current Debt</t>
    <phoneticPr fontId="0" type="noConversion"/>
  </si>
  <si>
    <t>Accounts Payable</t>
    <phoneticPr fontId="0" type="noConversion"/>
  </si>
  <si>
    <t>DCF Valuations</t>
    <phoneticPr fontId="0" type="noConversion"/>
  </si>
  <si>
    <t>Non-Operating Income/Sales</t>
  </si>
  <si>
    <t>cut-and-paste raw data block from DataMaker file here</t>
    <phoneticPr fontId="0" type="noConversion"/>
  </si>
  <si>
    <t>= Return on Equity</t>
  </si>
  <si>
    <t xml:space="preserve">   Net Operating Margin</t>
  </si>
  <si>
    <t>Income Taxes</t>
    <phoneticPr fontId="1" type="noConversion"/>
  </si>
  <si>
    <t>Minority Interest in Earnings</t>
    <phoneticPr fontId="1" type="noConversion"/>
  </si>
  <si>
    <t>Present Value of FCF</t>
    <phoneticPr fontId="0" type="noConversion"/>
  </si>
  <si>
    <t>Less Value of Contingent Equity Claims</t>
    <phoneticPr fontId="0" type="noConversion"/>
  </si>
  <si>
    <t>Annual Sales Growth</t>
  </si>
  <si>
    <t xml:space="preserve">   implied default probability</t>
  </si>
  <si>
    <t>Cut-and-Paste the yellow block of case data into the Raw Data Input section on the lower part of the eVal financial statements</t>
    <phoneticPr fontId="27" type="noConversion"/>
  </si>
  <si>
    <t>America Online</t>
  </si>
  <si>
    <t>Valuation to Common Equity</t>
    <phoneticPr fontId="0" type="noConversion"/>
  </si>
  <si>
    <t>Residual Income</t>
    <phoneticPr fontId="0" type="noConversion"/>
  </si>
  <si>
    <t>Income Taxes Payable</t>
    <phoneticPr fontId="1" type="noConversion"/>
  </si>
  <si>
    <t>Other Current Liabilities</t>
    <phoneticPr fontId="1" type="noConversion"/>
  </si>
  <si>
    <t>SG&amp;A Expense</t>
    <phoneticPr fontId="1" type="noConversion"/>
  </si>
  <si>
    <t>Depreciation &amp; Amortization</t>
    <phoneticPr fontId="1" type="noConversion"/>
  </si>
  <si>
    <t>Interest Expense</t>
    <phoneticPr fontId="1" type="noConversion"/>
  </si>
  <si>
    <t>Non-Operating Income (Loss)</t>
    <phoneticPr fontId="1" type="noConversion"/>
  </si>
  <si>
    <t>Other Assets</t>
    <phoneticPr fontId="1" type="noConversion"/>
  </si>
  <si>
    <t>Operating Cash and Market. Sec.</t>
    <phoneticPr fontId="1" type="noConversion"/>
  </si>
  <si>
    <t xml:space="preserve"> - Increase in Net Operating Assets</t>
  </si>
  <si>
    <t>Net Income to Total Assets</t>
  </si>
  <si>
    <t>Total Liabilities to Total Assets</t>
  </si>
  <si>
    <t>EBIT to Interest Expense</t>
  </si>
  <si>
    <t>Other Current Liabilities</t>
    <phoneticPr fontId="1" type="noConversion"/>
  </si>
  <si>
    <t>Long-Term Debt</t>
    <phoneticPr fontId="1" type="noConversion"/>
  </si>
  <si>
    <t>Current Debt</t>
    <phoneticPr fontId="1" type="noConversion"/>
  </si>
  <si>
    <t>Ending Accounts Payable/COGS</t>
  </si>
  <si>
    <t>Ending Other Current Liabs/Sales</t>
  </si>
  <si>
    <t>Ending Investments/Sales</t>
  </si>
  <si>
    <t>Ending Intangibles/Sales</t>
  </si>
  <si>
    <t>Net Financial Obligations</t>
    <phoneticPr fontId="0" type="noConversion"/>
  </si>
  <si>
    <t>PP&amp;E (Net)</t>
  </si>
  <si>
    <t>Investments</t>
  </si>
  <si>
    <t>Intangibles</t>
  </si>
  <si>
    <t>Income Taxes</t>
    <phoneticPr fontId="0" type="noConversion"/>
  </si>
  <si>
    <t>Minority Interest in Earnings</t>
    <phoneticPr fontId="0" type="noConversion"/>
  </si>
  <si>
    <t>Values for Dupont Analysis and Valuation</t>
    <phoneticPr fontId="0" type="noConversion"/>
  </si>
  <si>
    <t>Receivables</t>
  </si>
  <si>
    <t>Inventories</t>
  </si>
  <si>
    <t>Other Current Assets</t>
  </si>
  <si>
    <t xml:space="preserve">Enter Cost of Minority Interest: </t>
  </si>
  <si>
    <t>Cost of Minority Interest</t>
  </si>
  <si>
    <t>Beginning Book Value of Minority Interest</t>
  </si>
  <si>
    <t>Residual Income to Minority Interest</t>
  </si>
  <si>
    <t>Present Value of MI Residual Income</t>
  </si>
  <si>
    <t>Value of Minority Interest</t>
  </si>
  <si>
    <t>Less Value of Minority Interest</t>
  </si>
  <si>
    <t xml:space="preserve"> - Increase in Common Equity</t>
  </si>
  <si>
    <t>Avge Days to Collect Receivables</t>
  </si>
  <si>
    <t>Net Income</t>
  </si>
  <si>
    <t>Balance Sheet</t>
  </si>
  <si>
    <t xml:space="preserve"> +Increase in Other Curr. Liabilities</t>
  </si>
  <si>
    <t>AMERICA ONLINE INC</t>
  </si>
  <si>
    <t>AOL</t>
    <phoneticPr fontId="27" type="noConversion"/>
  </si>
  <si>
    <t>Company Name and Ticker</t>
    <phoneticPr fontId="0" type="noConversion"/>
  </si>
  <si>
    <t>Common Equity Issued (Repurchased)</t>
  </si>
  <si>
    <t>Forecast Horizon</t>
  </si>
  <si>
    <t>Terminal Year's ROE</t>
  </si>
  <si>
    <t>Free Cash Flow to Minority Interest</t>
  </si>
  <si>
    <t>Income Statement Assumptions</t>
    <phoneticPr fontId="0" type="noConversion"/>
  </si>
  <si>
    <t>Balance Sheet Assumptions</t>
    <phoneticPr fontId="0" type="noConversion"/>
  </si>
  <si>
    <t>Ending Taxes Payable/Sales</t>
  </si>
  <si>
    <t>Enter Date of Valuation:</t>
    <phoneticPr fontId="0" type="noConversion"/>
  </si>
  <si>
    <t>Estimated Price/Earnings Ratio</t>
  </si>
  <si>
    <t>Estimated Market/Book Ratio</t>
  </si>
  <si>
    <t>Other Useful Links:</t>
    <phoneticPr fontId="0" type="noConversion"/>
  </si>
  <si>
    <t>Minority Interest/After Tax Income</t>
  </si>
  <si>
    <t xml:space="preserve"> </t>
  </si>
  <si>
    <t>Common Equity as of</t>
  </si>
  <si>
    <t>Analysis of Credit Risk</t>
    <phoneticPr fontId="0" type="noConversion"/>
  </si>
  <si>
    <t>Income Taxes Payable</t>
  </si>
  <si>
    <t>Dividends to Preferred Stockholders</t>
  </si>
  <si>
    <t>Amazon.com</t>
  </si>
  <si>
    <t>This Year's ROE</t>
  </si>
  <si>
    <t>This Year's Sales Growth</t>
  </si>
  <si>
    <t>This Year's Forecast EPS</t>
  </si>
  <si>
    <t>Cost of Debt</t>
  </si>
  <si>
    <t>Cost of Preferred Stock</t>
  </si>
  <si>
    <t>Free Cash Flow to Debt</t>
  </si>
  <si>
    <t>Value of Debt</t>
  </si>
  <si>
    <t>Free Cash Flow to Preferred Stock</t>
  </si>
  <si>
    <t>Depreciation &amp; Amortization</t>
    <phoneticPr fontId="1" type="noConversion"/>
  </si>
  <si>
    <t>Sales Growth thresholds</t>
    <phoneticPr fontId="27" type="noConversion"/>
  </si>
  <si>
    <t xml:space="preserve"> -Dividends Paid on Preferred</t>
  </si>
  <si>
    <t>TL to TA default rates</t>
    <phoneticPr fontId="27" type="noConversion"/>
  </si>
  <si>
    <t>Lookup Table of default probability</t>
    <phoneticPr fontId="27" type="noConversion"/>
  </si>
  <si>
    <t>min decile 10</t>
    <phoneticPr fontId="27" type="noConversion"/>
  </si>
  <si>
    <t>Quick Ratio thresholds</t>
    <phoneticPr fontId="27" type="noConversion"/>
  </si>
  <si>
    <t>EBIT to Int thresholds</t>
    <phoneticPr fontId="27" type="noConversion"/>
  </si>
  <si>
    <t>Inv Holding thresholds</t>
    <phoneticPr fontId="27" type="noConversion"/>
  </si>
  <si>
    <t>Inv Holding default rates</t>
    <phoneticPr fontId="27" type="noConversion"/>
  </si>
  <si>
    <t>as the Entity Value less non-equity claims:</t>
    <phoneticPr fontId="0" type="noConversion"/>
  </si>
  <si>
    <t>Implied Return on Equity</t>
  </si>
  <si>
    <t xml:space="preserve"> +/-Net Issuance of Common Stock</t>
  </si>
  <si>
    <t>Valuation Date</t>
  </si>
  <si>
    <t xml:space="preserve">OSTK    </t>
  </si>
  <si>
    <t>= Return on Net Operating Assets</t>
  </si>
  <si>
    <t>Forecasted Value as of Valuation Date</t>
    <phoneticPr fontId="0" type="noConversion"/>
  </si>
  <si>
    <t>Avge Inventory Holding Period</t>
  </si>
  <si>
    <t>Avge Days to Pay Payables</t>
  </si>
  <si>
    <t>PP&amp;E Turnover</t>
  </si>
  <si>
    <t>Current Ratio</t>
  </si>
  <si>
    <t xml:space="preserve"> -Purchases of Intangibles</t>
  </si>
  <si>
    <t xml:space="preserve"> +Interest Expense</t>
  </si>
  <si>
    <t>Working Capital Assumptions</t>
    <phoneticPr fontId="0" type="noConversion"/>
  </si>
  <si>
    <t>Other Operating Asset Assumptions</t>
    <phoneticPr fontId="0" type="noConversion"/>
  </si>
  <si>
    <t>Common Shares Outstanding at BS Date</t>
  </si>
  <si>
    <t>Equivalent Shares at Valuation Date</t>
  </si>
  <si>
    <t>Forecasted Price at Valuation Date</t>
  </si>
  <si>
    <t>Paid in Common Capital (Net)</t>
    <phoneticPr fontId="0" type="noConversion"/>
  </si>
  <si>
    <t>such that the two equity values below are approximately equal:</t>
    <phoneticPr fontId="0" type="noConversion"/>
  </si>
  <si>
    <t>Other Income/Sales</t>
  </si>
  <si>
    <t>Equity Value computed directly</t>
    <phoneticPr fontId="0" type="noConversion"/>
  </si>
  <si>
    <t>from flows to equityholders:</t>
    <phoneticPr fontId="0" type="noConversion"/>
  </si>
  <si>
    <t>Equity Value computed indirectly</t>
    <phoneticPr fontId="0" type="noConversion"/>
  </si>
  <si>
    <t>PP&amp;E (Net)</t>
    <phoneticPr fontId="0" type="noConversion"/>
  </si>
  <si>
    <t>+Net Income</t>
    <phoneticPr fontId="0" type="noConversion"/>
  </si>
  <si>
    <t>Average ROE (last five years)</t>
  </si>
  <si>
    <t>Minority Interest/Total Assets</t>
  </si>
  <si>
    <t>Quick Ratio</t>
  </si>
  <si>
    <t>EBIT Interest Coverage</t>
  </si>
  <si>
    <t>Investing:</t>
  </si>
  <si>
    <t>Cost of Goods Sold</t>
    <phoneticPr fontId="1" type="noConversion"/>
  </si>
  <si>
    <t>R&amp;D Expense</t>
    <phoneticPr fontId="1" type="noConversion"/>
  </si>
  <si>
    <t>Other Current Assets</t>
    <phoneticPr fontId="1" type="noConversion"/>
  </si>
  <si>
    <t>PP&amp;E (Net)</t>
    <phoneticPr fontId="1" type="noConversion"/>
  </si>
  <si>
    <t>Accounts Payable</t>
    <phoneticPr fontId="1" type="noConversion"/>
  </si>
  <si>
    <t>Most Recent Fiscal Year End</t>
  </si>
  <si>
    <t>Investments</t>
    <phoneticPr fontId="1" type="noConversion"/>
  </si>
  <si>
    <t>Intangibles</t>
    <phoneticPr fontId="1" type="noConversion"/>
  </si>
  <si>
    <t>Other Assets</t>
    <phoneticPr fontId="1" type="noConversion"/>
  </si>
  <si>
    <t>Current Debt</t>
    <phoneticPr fontId="1" type="noConversion"/>
  </si>
  <si>
    <t>Accounts Payable</t>
    <phoneticPr fontId="1" type="noConversion"/>
  </si>
  <si>
    <t>Margin Analysis</t>
    <phoneticPr fontId="0" type="noConversion"/>
  </si>
  <si>
    <t>Turnover Analysis</t>
    <phoneticPr fontId="0" type="noConversion"/>
  </si>
  <si>
    <t>Retained Earnings</t>
    <phoneticPr fontId="1" type="noConversion"/>
  </si>
  <si>
    <t>Company Name and Ticker</t>
    <phoneticPr fontId="1" type="noConversion"/>
  </si>
  <si>
    <t>AMAZON.COM INC</t>
  </si>
  <si>
    <t>AMZN</t>
    <phoneticPr fontId="27" type="noConversion"/>
  </si>
  <si>
    <t>Credit Analysis</t>
    <phoneticPr fontId="0" type="noConversion"/>
  </si>
  <si>
    <t>NI to TA thresholds</t>
    <phoneticPr fontId="27" type="noConversion"/>
  </si>
  <si>
    <t>TL to TA thresholds</t>
    <phoneticPr fontId="27" type="noConversion"/>
  </si>
  <si>
    <t>Sales (Net)</t>
    <phoneticPr fontId="1" type="noConversion"/>
  </si>
  <si>
    <t>Other Current Assets</t>
    <phoneticPr fontId="1" type="noConversion"/>
  </si>
  <si>
    <t>PP&amp;E (Net)</t>
    <phoneticPr fontId="1" type="noConversion"/>
  </si>
  <si>
    <t>Investments</t>
    <phoneticPr fontId="1" type="noConversion"/>
  </si>
  <si>
    <t>Intangibles</t>
    <phoneticPr fontId="1" type="noConversion"/>
  </si>
  <si>
    <t>Deferred Taxes/Sales</t>
  </si>
  <si>
    <t>Present Value of Preferred Residual Income</t>
  </si>
  <si>
    <t>Present Value of Residual Investor Income</t>
  </si>
  <si>
    <t>Net Operating Income</t>
  </si>
  <si>
    <t>CCIN</t>
    <phoneticPr fontId="27" type="noConversion"/>
  </si>
  <si>
    <t>Net Financial Expense</t>
    <phoneticPr fontId="0" type="noConversion"/>
  </si>
  <si>
    <t>Net Income</t>
    <phoneticPr fontId="0" type="noConversion"/>
  </si>
  <si>
    <t>Net Operating Assets</t>
    <phoneticPr fontId="0" type="noConversion"/>
  </si>
  <si>
    <t>ROE = RNOA + LEV*Spread</t>
  </si>
  <si>
    <t>Raw Data Inputs</t>
    <phoneticPr fontId="0" type="noConversion"/>
  </si>
  <si>
    <t>Total Common Equity</t>
    <phoneticPr fontId="0" type="noConversion"/>
  </si>
  <si>
    <t>EBITDA Margin</t>
  </si>
  <si>
    <t>EBIT Margin</t>
  </si>
  <si>
    <t>Net Borrowing Cost (NBC)</t>
  </si>
  <si>
    <t>Spread (RNOA - NBC)</t>
  </si>
  <si>
    <t>Consensus Analyst Forecast of EPS</t>
  </si>
  <si>
    <t>Net Operating Asset Turnover</t>
  </si>
  <si>
    <t>Common Shares Outstanding</t>
  </si>
  <si>
    <t>Net Income (available to common)</t>
    <phoneticPr fontId="0" type="noConversion"/>
  </si>
  <si>
    <t>Operating Cash and Market. Sec.</t>
    <phoneticPr fontId="0" type="noConversion"/>
  </si>
  <si>
    <t>Receivables</t>
    <phoneticPr fontId="0" type="noConversion"/>
  </si>
  <si>
    <t>Inventories</t>
    <phoneticPr fontId="0" type="noConversion"/>
  </si>
  <si>
    <t>Total Liabilities</t>
    <phoneticPr fontId="0" type="noConversion"/>
  </si>
  <si>
    <t>Net Operating Income</t>
    <phoneticPr fontId="0" type="noConversion"/>
  </si>
  <si>
    <t>Ext. Items &amp; Disc. Ops./Sales</t>
  </si>
  <si>
    <t>Pref. Dividends/Avge Pref. Stock</t>
  </si>
  <si>
    <t>Forecasted Price at Year End</t>
    <phoneticPr fontId="0" type="noConversion"/>
  </si>
  <si>
    <t>Model Summary</t>
    <phoneticPr fontId="0" type="noConversion"/>
  </si>
  <si>
    <t>EBITDA Interest Coverage</t>
  </si>
  <si>
    <t>Forecast Five Year Growth Rate in EPS</t>
  </si>
  <si>
    <t>Value Attributable to Common Equity</t>
  </si>
  <si>
    <t xml:space="preserve"> +Increase in Deferred Taxes</t>
  </si>
  <si>
    <t xml:space="preserve"> +Increase in Other Liabilities</t>
  </si>
  <si>
    <t>Present Value of FCF to Minority Interest</t>
  </si>
  <si>
    <t>Net Interest Expense</t>
    <phoneticPr fontId="0" type="noConversion"/>
  </si>
  <si>
    <t xml:space="preserve">  -Increase in Operating Cash</t>
    <phoneticPr fontId="0" type="noConversion"/>
  </si>
  <si>
    <t>Net Working Capital Turnover</t>
  </si>
  <si>
    <t>Enter Dilution Factor for Splits Occurring Since Latest Fiscal Year End:</t>
    <phoneticPr fontId="0" type="noConversion"/>
  </si>
  <si>
    <t xml:space="preserve">  (in 000s at most recent fiscal year end)</t>
  </si>
  <si>
    <t xml:space="preserve"> - Long-Term Capital Structure</t>
    <phoneticPr fontId="0" type="noConversion"/>
  </si>
  <si>
    <t>Gross Margin</t>
  </si>
  <si>
    <t>Return on Equity</t>
  </si>
  <si>
    <t>Present Value of Residual Interest Income</t>
  </si>
  <si>
    <t>Residual Interest Expense</t>
  </si>
  <si>
    <t>Beginning Net Operating Assets</t>
  </si>
  <si>
    <t>Four Models</t>
  </si>
  <si>
    <t>Intel</t>
  </si>
  <si>
    <t>Netflix</t>
  </si>
  <si>
    <t>Effective Tax Rate</t>
    <phoneticPr fontId="0" type="noConversion"/>
  </si>
  <si>
    <t>Optional Valuation Parameters (to compute value to all investors):</t>
    <phoneticPr fontId="0" type="noConversion"/>
  </si>
  <si>
    <t>Residual Income Valuation</t>
    <phoneticPr fontId="0" type="noConversion"/>
  </si>
  <si>
    <t xml:space="preserve">INTC    </t>
    <phoneticPr fontId="27" type="noConversion"/>
  </si>
  <si>
    <t xml:space="preserve">NETFLIX INC                   </t>
  </si>
  <si>
    <t xml:space="preserve">NFLX    </t>
    <phoneticPr fontId="27" type="noConversion"/>
  </si>
  <si>
    <t>Cash Flow Analysis</t>
    <phoneticPr fontId="0" type="noConversion"/>
  </si>
  <si>
    <t>Sales Growth default rates</t>
    <phoneticPr fontId="27" type="noConversion"/>
  </si>
  <si>
    <t>EBIT to Int default rates</t>
    <phoneticPr fontId="27" type="noConversion"/>
  </si>
  <si>
    <t>Quick Ratio default rates</t>
    <phoneticPr fontId="27" type="noConversion"/>
  </si>
  <si>
    <t>Operating Cash and Market. Sec.</t>
    <phoneticPr fontId="1" type="noConversion"/>
  </si>
  <si>
    <t>Other Income (Loss)</t>
    <phoneticPr fontId="1" type="noConversion"/>
  </si>
  <si>
    <t xml:space="preserve">  - NOA Turnover Growth</t>
  </si>
  <si>
    <t xml:space="preserve"> + Non-Current Op. Accruals/NOA</t>
  </si>
  <si>
    <t>FOUR MODELS</t>
  </si>
  <si>
    <t>FOUR</t>
    <phoneticPr fontId="27" type="noConversion"/>
  </si>
  <si>
    <t>Other Income (Loss)</t>
    <phoneticPr fontId="1" type="noConversion"/>
  </si>
  <si>
    <t>Ext. Items &amp; Disc. Ops.</t>
    <phoneticPr fontId="1" type="noConversion"/>
  </si>
  <si>
    <t>Preferred Dividends</t>
    <phoneticPr fontId="1" type="noConversion"/>
  </si>
  <si>
    <t>Pro Forma Statement of Cash Flows</t>
    <phoneticPr fontId="0" type="noConversion"/>
  </si>
  <si>
    <t xml:space="preserve"> -Increase in Inventory</t>
  </si>
  <si>
    <t xml:space="preserve">  EBIT</t>
  </si>
  <si>
    <t>FFO to Total Debt</t>
  </si>
  <si>
    <t>CFO to Total Debt</t>
  </si>
  <si>
    <t>Operating:</t>
  </si>
  <si>
    <t>($000)</t>
  </si>
  <si>
    <t>Beg. Retained Earnings</t>
    <phoneticPr fontId="0" type="noConversion"/>
  </si>
  <si>
    <t>Other Liabilities</t>
  </si>
  <si>
    <t>Deferred Taxes</t>
  </si>
  <si>
    <t>Minority Interest</t>
  </si>
  <si>
    <t xml:space="preserve"> -Tax Shield on Interest</t>
  </si>
  <si>
    <t xml:space="preserve"> -Net Issuance of Debt</t>
  </si>
  <si>
    <t>Other Current Liabilities</t>
  </si>
  <si>
    <t>Paid in Common Capital (Net)</t>
    <phoneticPr fontId="1" type="noConversion"/>
  </si>
  <si>
    <t>Retained Earnings</t>
    <phoneticPr fontId="1" type="noConversion"/>
  </si>
  <si>
    <t>Company Name and Ticker</t>
    <phoneticPr fontId="1" type="noConversion"/>
  </si>
  <si>
    <t xml:space="preserve">INTEL CORP                    </t>
  </si>
  <si>
    <t>Present Value of Residual Income</t>
    <phoneticPr fontId="0" type="noConversion"/>
  </si>
  <si>
    <t>Minority Interest</t>
    <phoneticPr fontId="0" type="noConversion"/>
  </si>
  <si>
    <t>Other Liabilities</t>
    <phoneticPr fontId="0" type="noConversion"/>
  </si>
  <si>
    <t>Deferred Taxes</t>
    <phoneticPr fontId="0" type="noConversion"/>
  </si>
  <si>
    <t>cost of capital to use as starting point:</t>
    <phoneticPr fontId="0" type="noConversion"/>
  </si>
  <si>
    <t xml:space="preserve">Adjust the Weighted Average Cost of Capital Input </t>
    <phoneticPr fontId="0" type="noConversion"/>
  </si>
  <si>
    <t>Investments</t>
    <phoneticPr fontId="0" type="noConversion"/>
  </si>
  <si>
    <t>Intangibles</t>
    <phoneticPr fontId="0" type="noConversion"/>
  </si>
  <si>
    <t xml:space="preserve"> = Free Cash Flow to Common Equity</t>
  </si>
  <si>
    <t>Other Operating Liability Assumptions</t>
    <phoneticPr fontId="0" type="noConversion"/>
  </si>
  <si>
    <t>Financing Assumptions</t>
    <phoneticPr fontId="0" type="noConversion"/>
  </si>
  <si>
    <t/>
  </si>
  <si>
    <t>Financing:</t>
  </si>
  <si>
    <t>Financing Flows:</t>
  </si>
  <si>
    <t>Date of Valuation</t>
  </si>
  <si>
    <t>SG&amp;A Expense</t>
    <phoneticPr fontId="1" type="noConversion"/>
  </si>
  <si>
    <t>Receivables</t>
    <phoneticPr fontId="1" type="noConversion"/>
  </si>
  <si>
    <t>Inventories</t>
    <phoneticPr fontId="1" type="noConversion"/>
  </si>
  <si>
    <t>Average Implied Default Probability</t>
  </si>
  <si>
    <t>Company Name</t>
  </si>
  <si>
    <t>Statement of Retained Earnings</t>
  </si>
  <si>
    <t>Sales Growth</t>
  </si>
  <si>
    <t>Cost of Goods Sold/Sales</t>
  </si>
  <si>
    <t>Ending Operating Cash/Sales</t>
  </si>
  <si>
    <t>Ending Net PP&amp;E/Sales</t>
  </si>
  <si>
    <t>Free Cash Flow to Common Equity</t>
    <phoneticPr fontId="0" type="noConversion"/>
  </si>
  <si>
    <t>Free Cash Flow to all Investors</t>
    <phoneticPr fontId="0" type="noConversion"/>
  </si>
  <si>
    <t>Overstock</t>
  </si>
  <si>
    <t>Current Debt/Total Assets</t>
  </si>
  <si>
    <t>Long-Term Debt/Total Assets</t>
  </si>
  <si>
    <t>Less Value of Debt</t>
  </si>
  <si>
    <t>Minority Interest in Earnings</t>
  </si>
  <si>
    <t>Other Income (Loss)</t>
  </si>
  <si>
    <t>Other Liabilities/Sales</t>
  </si>
  <si>
    <t>SALTON INC</t>
  </si>
  <si>
    <t>SFP</t>
    <phoneticPr fontId="27" type="noConversion"/>
  </si>
  <si>
    <t>CITY SCREENS</t>
  </si>
  <si>
    <t>CSCR</t>
    <phoneticPr fontId="27" type="noConversion"/>
  </si>
  <si>
    <t>COUNTY CINEMA</t>
  </si>
  <si>
    <t>Other Current Assets</t>
    <phoneticPr fontId="0" type="noConversion"/>
  </si>
  <si>
    <t xml:space="preserve"> -Dividends Paid to Minority Interest</t>
    <phoneticPr fontId="0" type="noConversion"/>
  </si>
  <si>
    <t xml:space="preserve"> +Dividends Paid to Minority Interest</t>
    <phoneticPr fontId="0" type="noConversion"/>
  </si>
  <si>
    <t>back to top</t>
  </si>
  <si>
    <t>Verizon</t>
  </si>
  <si>
    <t>Preferred Stock</t>
    <phoneticPr fontId="0" type="noConversion"/>
  </si>
  <si>
    <t>Other Current Liabilities</t>
    <phoneticPr fontId="0" type="noConversion"/>
  </si>
  <si>
    <t>Total Current Liabilities</t>
    <phoneticPr fontId="0" type="noConversion"/>
  </si>
  <si>
    <t>Long-Term Debt</t>
    <phoneticPr fontId="0" type="noConversion"/>
  </si>
  <si>
    <t>Net Income Before Ext. Items</t>
    <phoneticPr fontId="0" type="noConversion"/>
  </si>
  <si>
    <t>Other Assets</t>
  </si>
  <si>
    <t>Current Debt</t>
  </si>
  <si>
    <t>Accounts Payable</t>
  </si>
  <si>
    <t>Value of Preferred Stock</t>
  </si>
  <si>
    <t>Present Value of First 10 Years</t>
    <phoneticPr fontId="0" type="noConversion"/>
  </si>
  <si>
    <t>Present Value Beyond 10 Years</t>
    <phoneticPr fontId="0" type="noConversion"/>
  </si>
  <si>
    <t>Teriminal Growth Rate</t>
    <phoneticPr fontId="0" type="noConversion"/>
  </si>
  <si>
    <t>Terminal Growth Rate</t>
    <phoneticPr fontId="0" type="noConversion"/>
  </si>
  <si>
    <t>10 years</t>
    <phoneticPr fontId="0" type="noConversion"/>
  </si>
  <si>
    <t>Forecast EPS</t>
  </si>
  <si>
    <t>Computation based on SCF:</t>
  </si>
  <si>
    <t>Ext. Items &amp; Disc. Ops.</t>
  </si>
  <si>
    <t>Preferred Dividends</t>
  </si>
  <si>
    <t>Operating Cash and Market. Sec.</t>
  </si>
  <si>
    <t xml:space="preserve"> +Non-Operating Income (Loss)</t>
  </si>
  <si>
    <t xml:space="preserve"> +Other Income (Loss)</t>
  </si>
  <si>
    <t xml:space="preserve"> +Ext. Items &amp; Disc. Ops.</t>
  </si>
  <si>
    <t xml:space="preserve"> =Cash From Operations</t>
  </si>
  <si>
    <t>Debt to Equity Ratio</t>
  </si>
  <si>
    <t>Net Operating Margin (b4 non-rec.)</t>
  </si>
  <si>
    <t>Net Operating Margin</t>
  </si>
  <si>
    <t xml:space="preserve"> =Funds From Operations</t>
  </si>
  <si>
    <t>Beginning Book Value of Debt</t>
  </si>
  <si>
    <t>Other Income (Loss)</t>
    <phoneticPr fontId="0" type="noConversion"/>
  </si>
  <si>
    <t>Forecast 5 Year EPS Growth</t>
  </si>
  <si>
    <t>Terminal Year's Sales Growth</t>
  </si>
  <si>
    <t>Valuation Data:</t>
  </si>
  <si>
    <t>Estimated Price/Share</t>
  </si>
  <si>
    <t>Return on Equity (b4 non-recurring)</t>
  </si>
  <si>
    <t>Free Cash Flows to Investors</t>
  </si>
  <si>
    <t>Residual Income to all Investors</t>
  </si>
  <si>
    <t>Residual Income to Preferred Stock</t>
  </si>
  <si>
    <t>Analysis of Leverage</t>
    <phoneticPr fontId="0" type="noConversion"/>
  </si>
  <si>
    <t xml:space="preserve"> - Short-Term Liquidity</t>
    <phoneticPr fontId="0" type="noConversion"/>
  </si>
  <si>
    <t>Present Value of FCF to Investors</t>
  </si>
  <si>
    <t>Cost of Equity Capital</t>
  </si>
  <si>
    <t>($000s)</t>
  </si>
  <si>
    <t>Retained Earnings</t>
    <phoneticPr fontId="0" type="noConversion"/>
  </si>
  <si>
    <t>Total Common Equity</t>
    <phoneticPr fontId="0" type="noConversion"/>
  </si>
  <si>
    <t>Total Liabilities and Equity</t>
    <phoneticPr fontId="0" type="noConversion"/>
  </si>
  <si>
    <t>Long-Term Debt</t>
  </si>
  <si>
    <t>Interest Expense</t>
    <phoneticPr fontId="1" type="noConversion"/>
  </si>
  <si>
    <t>Non-Operating Income (Loss)</t>
    <phoneticPr fontId="1" type="noConversion"/>
  </si>
  <si>
    <t>Income Taxes</t>
    <phoneticPr fontId="1" type="noConversion"/>
  </si>
  <si>
    <t>Minority Interest in Earnings</t>
    <phoneticPr fontId="1" type="noConversion"/>
  </si>
  <si>
    <t>Income Taxes Payable</t>
    <phoneticPr fontId="1" type="noConversion"/>
  </si>
  <si>
    <t>Other Current Liabilities</t>
    <phoneticPr fontId="1" type="noConversion"/>
  </si>
  <si>
    <t>Paid in Common Capital (Net)</t>
    <phoneticPr fontId="1" type="noConversion"/>
  </si>
  <si>
    <t>Other Current Liabilities</t>
    <phoneticPr fontId="1" type="noConversion"/>
  </si>
  <si>
    <t>Company Name and Ticker</t>
    <phoneticPr fontId="0" type="noConversion"/>
  </si>
  <si>
    <t>Common Shares Outstanding</t>
    <phoneticPr fontId="0" type="noConversion"/>
  </si>
  <si>
    <t>Sales (Net)</t>
    <phoneticPr fontId="0" type="noConversion"/>
  </si>
  <si>
    <t>Sustainable Growth Rate</t>
  </si>
  <si>
    <t>CCL</t>
    <phoneticPr fontId="27" type="noConversion"/>
  </si>
  <si>
    <t>NORDSTROM INC</t>
  </si>
  <si>
    <t>JWN</t>
  </si>
  <si>
    <t>Nordstrom</t>
  </si>
  <si>
    <t>ROSS STORES INC</t>
  </si>
  <si>
    <t>ROST</t>
    <phoneticPr fontId="27" type="noConversion"/>
  </si>
  <si>
    <t>Ross Stores</t>
  </si>
  <si>
    <t>Ext. Items &amp; Disc. Ops.</t>
    <phoneticPr fontId="0" type="noConversion"/>
  </si>
  <si>
    <t>Sales (Net)</t>
  </si>
  <si>
    <t xml:space="preserve"> -Increase in Cash</t>
  </si>
  <si>
    <t>SG&amp;A Expense</t>
  </si>
  <si>
    <t xml:space="preserve"> =Gross Cash Flow</t>
  </si>
  <si>
    <t xml:space="preserve"> -Capital Expenditures</t>
  </si>
  <si>
    <t xml:space="preserve"> -Increase in Working Capital</t>
  </si>
  <si>
    <t>Consensus Analyst Forecast of Growth Rate</t>
  </si>
  <si>
    <t xml:space="preserve">    Current Op. Accruals/NOA</t>
  </si>
  <si>
    <t xml:space="preserve">  - Interaction</t>
  </si>
  <si>
    <t xml:space="preserve">    Sales Growth</t>
  </si>
  <si>
    <t>Traditional Computation of FCF:</t>
  </si>
  <si>
    <r>
      <t xml:space="preserve">   </t>
    </r>
    <r>
      <rPr>
        <sz val="10"/>
        <rFont val="Arial"/>
      </rPr>
      <t>Net Income</t>
    </r>
  </si>
  <si>
    <t>Return on Net Operating Assets</t>
  </si>
  <si>
    <t>Financial Leverage (LEV)</t>
  </si>
  <si>
    <t>TERMINAL</t>
  </si>
  <si>
    <t>YEAR</t>
  </si>
  <si>
    <t>Company Name:</t>
  </si>
  <si>
    <t>Most Recent Fiscal Year End:</t>
  </si>
  <si>
    <t>Beginning Book Value of Preferred Stock</t>
  </si>
  <si>
    <t>-Common Dividends</t>
    <phoneticPr fontId="0" type="noConversion"/>
  </si>
  <si>
    <t>+/-Clean Surplus Plug (Ignore)</t>
    <phoneticPr fontId="0" type="noConversion"/>
  </si>
  <si>
    <t>Preferred Stock/Total Assets</t>
  </si>
  <si>
    <t>Dividend Payout Ratio</t>
  </si>
  <si>
    <t>=End. Retained Earnings</t>
    <phoneticPr fontId="0" type="noConversion"/>
  </si>
  <si>
    <t>Jump to Raw Data Input</t>
  </si>
  <si>
    <t>Financial Statements</t>
    <phoneticPr fontId="0" type="noConversion"/>
  </si>
  <si>
    <t xml:space="preserve">Enter Cost of Preferred Stock: </t>
    <phoneticPr fontId="0" type="noConversion"/>
  </si>
  <si>
    <t xml:space="preserve"> -Net Issuance of Preferred Stock</t>
  </si>
  <si>
    <t>Fiscal Year of Forecast</t>
  </si>
  <si>
    <t>Less Value of Contingent Equity Claims</t>
    <phoneticPr fontId="0" type="noConversion"/>
  </si>
  <si>
    <t>EPS Forecaster</t>
    <phoneticPr fontId="0" type="noConversion"/>
  </si>
  <si>
    <t>Fiscal Year End Date</t>
  </si>
  <si>
    <t>Actual</t>
  </si>
  <si>
    <t>Forecast</t>
  </si>
  <si>
    <t>Cost of Goods Sold</t>
  </si>
  <si>
    <t>R&amp;D Expense</t>
  </si>
  <si>
    <t>Ending Receivables/Sales</t>
  </si>
  <si>
    <t xml:space="preserve"> -Increase in Receivables</t>
  </si>
  <si>
    <t>Free Cash Flow to Common Equity</t>
  </si>
  <si>
    <t>Sales</t>
  </si>
  <si>
    <t>Preferred Dividends</t>
    <phoneticPr fontId="0" type="noConversion"/>
  </si>
  <si>
    <t>SG&amp;A/Sales</t>
  </si>
  <si>
    <t>Effective Tax Rate</t>
  </si>
  <si>
    <t>Depreciation &amp; Amortization</t>
  </si>
  <si>
    <t>Interest Expense</t>
  </si>
  <si>
    <t>Non-Operating Income (Loss)</t>
  </si>
  <si>
    <t>Income Taxes</t>
  </si>
  <si>
    <t xml:space="preserve"> =Free Cash Flow to Investors</t>
  </si>
  <si>
    <t xml:space="preserve"> +Dividends on Common Stock</t>
  </si>
  <si>
    <t>Less Value of Preferred Stock</t>
  </si>
  <si>
    <t>Cost of Common Equity</t>
  </si>
  <si>
    <t>R&amp;D/Sales</t>
  </si>
  <si>
    <t>Dep&amp;Amort/Avge PP&amp;E and Intang.</t>
  </si>
  <si>
    <t xml:space="preserve"> +Depreciation &amp; Amortization</t>
  </si>
  <si>
    <t>Salton</t>
  </si>
  <si>
    <t>City Screens</t>
  </si>
  <si>
    <t>Country Cinema</t>
  </si>
  <si>
    <t>Kohls</t>
  </si>
  <si>
    <t>RCL</t>
    <phoneticPr fontId="27" type="noConversion"/>
  </si>
  <si>
    <t>Sales Growth (last five years)</t>
  </si>
  <si>
    <t>Forecast Data:</t>
  </si>
  <si>
    <t>Common Equity at Beginning of Year</t>
  </si>
  <si>
    <t>Income Taxes Payable</t>
    <phoneticPr fontId="0" type="noConversion"/>
  </si>
  <si>
    <t>1) enter financial data on the Financial Statements sheet,</t>
  </si>
  <si>
    <t>Cases to accompany the textbook</t>
  </si>
  <si>
    <t xml:space="preserve">3) enter forecasts on the Forecasting Assumptions sheet to predict future the Financial Statements, </t>
  </si>
  <si>
    <t>5) evaluate the details of the resulting valuation using either residual income or cash flow valuation models.</t>
  </si>
  <si>
    <t>Carnival 1998</t>
  </si>
  <si>
    <t>RCL 2010</t>
  </si>
  <si>
    <t>Carnival 2010</t>
  </si>
  <si>
    <t>RCL 1998</t>
  </si>
  <si>
    <t xml:space="preserve">ROYAL CARIBBEAN CRUISES LTD </t>
  </si>
  <si>
    <t xml:space="preserve">RCL </t>
  </si>
  <si>
    <t xml:space="preserve">CARNIVAL CORP/PLC (USA) </t>
  </si>
  <si>
    <t xml:space="preserve">CCL </t>
  </si>
  <si>
    <t>Check here for updated versions of 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</si>
</sst>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0.0%"/>
    <numFmt numFmtId="165" formatCode="0.0000"/>
    <numFmt numFmtId="166" formatCode="0.000"/>
    <numFmt numFmtId="167" formatCode="0.000_);\(0.000\)"/>
    <numFmt numFmtId="168" formatCode="&quot;$&quot;#,##0.00"/>
    <numFmt numFmtId="169" formatCode="0.00_);\(0.00\)"/>
    <numFmt numFmtId="170" formatCode="#,##0.0000_);\(#,##0.0000\)"/>
    <numFmt numFmtId="171" formatCode="0.0000%"/>
    <numFmt numFmtId="172" formatCode="yyyy/mm/dd;@"/>
    <numFmt numFmtId="173" formatCode="m/d/yyyy;@"/>
  </numFmts>
  <fonts count="3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sz val="72"/>
      <name val="Marigold (W1)"/>
      <family val="4"/>
    </font>
    <font>
      <sz val="2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4"/>
      <color indexed="17"/>
      <name val="Arial"/>
      <family val="2"/>
    </font>
    <font>
      <u/>
      <sz val="14"/>
      <color indexed="12"/>
      <name val="Arial"/>
      <family val="2"/>
    </font>
    <font>
      <sz val="9"/>
      <name val="Times New Roman"/>
      <family val="1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4"/>
      <color indexed="12"/>
      <name val="Arial"/>
      <family val="2"/>
    </font>
    <font>
      <sz val="10"/>
      <color indexed="10"/>
      <name val="Arial"/>
      <family val="2"/>
    </font>
    <font>
      <sz val="10"/>
      <color indexed="29"/>
      <name val="Arial"/>
      <family val="2"/>
    </font>
    <font>
      <b/>
      <sz val="10"/>
      <color indexed="29"/>
      <name val="Arial"/>
      <family val="2"/>
    </font>
    <font>
      <b/>
      <sz val="10"/>
      <color indexed="53"/>
      <name val="Arial"/>
      <family val="2"/>
    </font>
    <font>
      <b/>
      <sz val="10"/>
      <color indexed="52"/>
      <name val="Arial"/>
      <family val="2"/>
    </font>
    <font>
      <b/>
      <u/>
      <sz val="10"/>
      <color indexed="12"/>
      <name val="Arial"/>
      <family val="2"/>
    </font>
    <font>
      <b/>
      <sz val="9"/>
      <name val="Arial"/>
      <family val="2"/>
    </font>
    <font>
      <sz val="8"/>
      <name val="Verdan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indexed="5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30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7" fontId="0" fillId="0" borderId="0" xfId="0" applyNumberFormat="1"/>
    <xf numFmtId="37" fontId="0" fillId="0" borderId="0" xfId="0" applyNumberForma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0" fillId="0" borderId="1" xfId="0" applyBorder="1"/>
    <xf numFmtId="0" fontId="5" fillId="0" borderId="0" xfId="2" applyAlignment="1" applyProtection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37" fontId="6" fillId="0" borderId="0" xfId="0" applyNumberFormat="1" applyFont="1" applyBorder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164" fontId="6" fillId="0" borderId="0" xfId="0" applyNumberFormat="1" applyFont="1" applyFill="1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1" applyNumberFormat="1" applyFont="1" applyBorder="1"/>
    <xf numFmtId="0" fontId="0" fillId="0" borderId="0" xfId="0" applyAlignment="1">
      <alignment horizontal="right"/>
    </xf>
    <xf numFmtId="14" fontId="6" fillId="0" borderId="0" xfId="0" applyNumberFormat="1" applyFont="1" applyFill="1" applyBorder="1"/>
    <xf numFmtId="167" fontId="0" fillId="0" borderId="0" xfId="0" applyNumberFormat="1"/>
    <xf numFmtId="0" fontId="3" fillId="0" borderId="0" xfId="0" applyFont="1"/>
    <xf numFmtId="0" fontId="4" fillId="0" borderId="0" xfId="2" applyFont="1" applyBorder="1" applyAlignment="1" applyProtection="1"/>
    <xf numFmtId="0" fontId="3" fillId="0" borderId="0" xfId="0" applyFont="1" applyBorder="1" applyAlignment="1">
      <alignment horizontal="center"/>
    </xf>
    <xf numFmtId="37" fontId="3" fillId="0" borderId="0" xfId="0" applyNumberFormat="1" applyFont="1" applyBorder="1"/>
    <xf numFmtId="37" fontId="3" fillId="0" borderId="0" xfId="0" applyNumberFormat="1" applyFont="1"/>
    <xf numFmtId="37" fontId="3" fillId="0" borderId="2" xfId="0" applyNumberFormat="1" applyFont="1" applyBorder="1"/>
    <xf numFmtId="0" fontId="6" fillId="0" borderId="0" xfId="1" applyNumberFormat="1" applyFont="1" applyBorder="1"/>
    <xf numFmtId="0" fontId="6" fillId="0" borderId="0" xfId="0" applyFont="1"/>
    <xf numFmtId="37" fontId="6" fillId="0" borderId="0" xfId="0" applyNumberFormat="1" applyFont="1"/>
    <xf numFmtId="37" fontId="6" fillId="0" borderId="2" xfId="0" applyNumberFormat="1" applyFont="1" applyBorder="1"/>
    <xf numFmtId="9" fontId="0" fillId="0" borderId="0" xfId="3" applyFont="1" applyFill="1" applyBorder="1"/>
    <xf numFmtId="0" fontId="7" fillId="0" borderId="0" xfId="0" applyFont="1"/>
    <xf numFmtId="164" fontId="6" fillId="0" borderId="0" xfId="0" applyNumberFormat="1" applyFont="1"/>
    <xf numFmtId="167" fontId="6" fillId="0" borderId="0" xfId="0" applyNumberFormat="1" applyFont="1"/>
    <xf numFmtId="167" fontId="3" fillId="0" borderId="0" xfId="0" applyNumberFormat="1" applyFont="1"/>
    <xf numFmtId="14" fontId="0" fillId="0" borderId="0" xfId="0" applyNumberFormat="1" applyFill="1" applyBorder="1"/>
    <xf numFmtId="10" fontId="0" fillId="0" borderId="0" xfId="3" applyNumberFormat="1" applyFont="1" applyFill="1" applyBorder="1"/>
    <xf numFmtId="37" fontId="3" fillId="0" borderId="0" xfId="0" applyNumberFormat="1" applyFont="1" applyFill="1"/>
    <xf numFmtId="37" fontId="6" fillId="0" borderId="0" xfId="0" applyNumberFormat="1" applyFont="1" applyFill="1" applyBorder="1"/>
    <xf numFmtId="10" fontId="3" fillId="0" borderId="0" xfId="3" applyNumberFormat="1" applyFont="1" applyFill="1" applyBorder="1"/>
    <xf numFmtId="168" fontId="0" fillId="0" borderId="0" xfId="0" applyNumberFormat="1"/>
    <xf numFmtId="37" fontId="7" fillId="0" borderId="0" xfId="0" applyNumberFormat="1" applyFont="1" applyFill="1" applyBorder="1"/>
    <xf numFmtId="164" fontId="3" fillId="0" borderId="0" xfId="0" applyNumberFormat="1" applyFont="1"/>
    <xf numFmtId="37" fontId="3" fillId="0" borderId="0" xfId="0" applyNumberFormat="1" applyFont="1" applyFill="1" applyBorder="1"/>
    <xf numFmtId="0" fontId="2" fillId="2" borderId="0" xfId="0" applyFont="1" applyFill="1"/>
    <xf numFmtId="0" fontId="0" fillId="2" borderId="0" xfId="0" applyFill="1"/>
    <xf numFmtId="0" fontId="0" fillId="0" borderId="0" xfId="0" applyFill="1" applyBorder="1"/>
    <xf numFmtId="3" fontId="6" fillId="0" borderId="0" xfId="1" applyNumberFormat="1" applyFont="1" applyFill="1" applyBorder="1"/>
    <xf numFmtId="168" fontId="3" fillId="0" borderId="0" xfId="1" applyNumberFormat="1" applyFont="1" applyFill="1" applyBorder="1"/>
    <xf numFmtId="3" fontId="3" fillId="0" borderId="0" xfId="1" applyNumberFormat="1" applyFont="1" applyFill="1" applyBorder="1"/>
    <xf numFmtId="37" fontId="6" fillId="0" borderId="2" xfId="0" applyNumberFormat="1" applyFont="1" applyFill="1" applyBorder="1"/>
    <xf numFmtId="37" fontId="0" fillId="0" borderId="2" xfId="0" applyNumberFormat="1" applyBorder="1"/>
    <xf numFmtId="0" fontId="2" fillId="0" borderId="0" xfId="0" applyFont="1" applyAlignment="1">
      <alignment horizontal="center"/>
    </xf>
    <xf numFmtId="0" fontId="0" fillId="0" borderId="0" xfId="0" applyFill="1"/>
    <xf numFmtId="0" fontId="13" fillId="0" borderId="0" xfId="0" applyFont="1"/>
    <xf numFmtId="0" fontId="13" fillId="0" borderId="0" xfId="0" applyFont="1" applyBorder="1"/>
    <xf numFmtId="164" fontId="0" fillId="3" borderId="3" xfId="0" applyNumberFormat="1" applyFill="1" applyBorder="1" applyProtection="1">
      <protection locked="0"/>
    </xf>
    <xf numFmtId="37" fontId="0" fillId="3" borderId="3" xfId="0" applyNumberFormat="1" applyFill="1" applyBorder="1" applyAlignment="1" applyProtection="1">
      <alignment horizontal="center"/>
      <protection locked="0"/>
    </xf>
    <xf numFmtId="169" fontId="0" fillId="3" borderId="3" xfId="0" applyNumberForma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/>
    </xf>
    <xf numFmtId="0" fontId="0" fillId="0" borderId="0" xfId="0" applyProtection="1"/>
    <xf numFmtId="0" fontId="0" fillId="0" borderId="0" xfId="0" applyFill="1" applyBorder="1" applyProtection="1"/>
    <xf numFmtId="0" fontId="2" fillId="0" borderId="0" xfId="0" applyFont="1" applyAlignment="1" applyProtection="1">
      <alignment horizontal="center"/>
    </xf>
    <xf numFmtId="164" fontId="0" fillId="0" borderId="0" xfId="0" applyNumberFormat="1" applyFill="1" applyBorder="1" applyProtection="1"/>
    <xf numFmtId="0" fontId="3" fillId="0" borderId="0" xfId="0" applyFont="1" applyAlignment="1" applyProtection="1">
      <alignment horizontal="right"/>
    </xf>
    <xf numFmtId="0" fontId="3" fillId="2" borderId="0" xfId="0" applyFont="1" applyFill="1"/>
    <xf numFmtId="0" fontId="5" fillId="0" borderId="0" xfId="2" applyFont="1" applyAlignment="1" applyProtection="1"/>
    <xf numFmtId="37" fontId="0" fillId="0" borderId="0" xfId="0" applyNumberFormat="1" applyAlignment="1">
      <alignment wrapText="1"/>
    </xf>
    <xf numFmtId="10" fontId="0" fillId="3" borderId="3" xfId="0" applyNumberFormat="1" applyFill="1" applyBorder="1" applyAlignment="1" applyProtection="1">
      <alignment horizontal="center"/>
      <protection locked="0"/>
    </xf>
    <xf numFmtId="165" fontId="0" fillId="0" borderId="0" xfId="0" applyNumberFormat="1"/>
    <xf numFmtId="14" fontId="0" fillId="0" borderId="0" xfId="0" applyNumberFormat="1" applyBorder="1" applyAlignment="1">
      <alignment horizontal="right"/>
    </xf>
    <xf numFmtId="0" fontId="17" fillId="0" borderId="0" xfId="2" applyFont="1" applyAlignment="1" applyProtection="1"/>
    <xf numFmtId="0" fontId="18" fillId="0" borderId="0" xfId="2" applyFont="1" applyBorder="1" applyAlignment="1" applyProtection="1"/>
    <xf numFmtId="0" fontId="18" fillId="0" borderId="0" xfId="2" applyFont="1" applyAlignment="1" applyProtection="1"/>
    <xf numFmtId="0" fontId="20" fillId="0" borderId="0" xfId="0" applyFont="1"/>
    <xf numFmtId="37" fontId="20" fillId="0" borderId="0" xfId="0" applyNumberFormat="1" applyFont="1" applyFill="1" applyBorder="1"/>
    <xf numFmtId="14" fontId="0" fillId="0" borderId="0" xfId="0" applyNumberFormat="1" applyBorder="1" applyAlignment="1">
      <alignment horizontal="center"/>
    </xf>
    <xf numFmtId="0" fontId="11" fillId="4" borderId="0" xfId="0" applyFont="1" applyFill="1"/>
    <xf numFmtId="0" fontId="12" fillId="4" borderId="0" xfId="0" applyFont="1" applyFill="1"/>
    <xf numFmtId="0" fontId="11" fillId="2" borderId="0" xfId="0" applyFont="1" applyFill="1"/>
    <xf numFmtId="0" fontId="1" fillId="2" borderId="0" xfId="0" applyFont="1" applyFill="1"/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2" borderId="0" xfId="0" applyFont="1" applyFill="1"/>
    <xf numFmtId="0" fontId="0" fillId="4" borderId="0" xfId="0" applyFill="1"/>
    <xf numFmtId="0" fontId="2" fillId="2" borderId="0" xfId="0" applyFont="1" applyFill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6" fillId="2" borderId="0" xfId="0" applyFont="1" applyFill="1" applyBorder="1"/>
    <xf numFmtId="0" fontId="2" fillId="2" borderId="0" xfId="0" applyFont="1" applyFill="1" applyBorder="1"/>
    <xf numFmtId="168" fontId="0" fillId="3" borderId="3" xfId="0" applyNumberFormat="1" applyFill="1" applyBorder="1" applyProtection="1">
      <protection locked="0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4" borderId="0" xfId="0" applyFill="1" applyBorder="1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Protection="1">
      <protection locked="0"/>
    </xf>
    <xf numFmtId="0" fontId="13" fillId="0" borderId="0" xfId="0" applyFont="1" applyFill="1"/>
    <xf numFmtId="0" fontId="2" fillId="0" borderId="0" xfId="0" applyFont="1" applyFill="1" applyBorder="1"/>
    <xf numFmtId="0" fontId="6" fillId="0" borderId="0" xfId="0" applyFont="1" applyFill="1" applyBorder="1"/>
    <xf numFmtId="0" fontId="4" fillId="0" borderId="0" xfId="2" applyFont="1" applyFill="1" applyBorder="1" applyAlignment="1" applyProtection="1"/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37" fontId="0" fillId="0" borderId="0" xfId="0" applyNumberFormat="1" applyFill="1"/>
    <xf numFmtId="168" fontId="0" fillId="0" borderId="0" xfId="0" applyNumberFormat="1" applyFill="1"/>
    <xf numFmtId="0" fontId="0" fillId="0" borderId="0" xfId="0" applyFill="1" applyAlignment="1">
      <alignment wrapText="1"/>
    </xf>
    <xf numFmtId="9" fontId="0" fillId="0" borderId="0" xfId="0" applyNumberFormat="1" applyFill="1"/>
    <xf numFmtId="37" fontId="6" fillId="3" borderId="3" xfId="0" applyNumberFormat="1" applyFont="1" applyFill="1" applyBorder="1" applyProtection="1">
      <protection locked="0"/>
    </xf>
    <xf numFmtId="3" fontId="6" fillId="3" borderId="3" xfId="1" applyNumberFormat="1" applyFont="1" applyFill="1" applyBorder="1" applyProtection="1">
      <protection locked="0"/>
    </xf>
    <xf numFmtId="0" fontId="21" fillId="0" borderId="0" xfId="0" applyFont="1" applyFill="1"/>
    <xf numFmtId="9" fontId="21" fillId="0" borderId="0" xfId="0" applyNumberFormat="1" applyFont="1" applyFill="1"/>
    <xf numFmtId="0" fontId="22" fillId="0" borderId="0" xfId="0" applyFont="1" applyFill="1" applyAlignment="1"/>
    <xf numFmtId="0" fontId="23" fillId="0" borderId="0" xfId="0" applyFont="1" applyFill="1" applyAlignment="1">
      <alignment wrapText="1"/>
    </xf>
    <xf numFmtId="0" fontId="23" fillId="0" borderId="0" xfId="0" applyFont="1" applyFill="1"/>
    <xf numFmtId="168" fontId="3" fillId="3" borderId="3" xfId="0" applyNumberFormat="1" applyFont="1" applyFill="1" applyBorder="1" applyProtection="1">
      <protection locked="0"/>
    </xf>
    <xf numFmtId="9" fontId="3" fillId="3" borderId="3" xfId="0" applyNumberFormat="1" applyFont="1" applyFill="1" applyBorder="1" applyProtection="1">
      <protection locked="0"/>
    </xf>
    <xf numFmtId="0" fontId="2" fillId="0" borderId="0" xfId="0" applyFont="1" applyAlignment="1"/>
    <xf numFmtId="0" fontId="0" fillId="0" borderId="0" xfId="0" applyBorder="1" applyAlignment="1" applyProtection="1">
      <alignment horizontal="center"/>
    </xf>
    <xf numFmtId="37" fontId="0" fillId="0" borderId="0" xfId="0" applyNumberFormat="1" applyFill="1" applyBorder="1" applyProtection="1"/>
    <xf numFmtId="37" fontId="3" fillId="0" borderId="0" xfId="0" applyNumberFormat="1" applyFont="1" applyFill="1" applyBorder="1" applyProtection="1"/>
    <xf numFmtId="0" fontId="0" fillId="0" borderId="0" xfId="0" applyBorder="1" applyProtection="1"/>
    <xf numFmtId="0" fontId="2" fillId="0" borderId="0" xfId="0" applyFont="1" applyBorder="1" applyProtection="1"/>
    <xf numFmtId="37" fontId="0" fillId="0" borderId="4" xfId="0" applyNumberFormat="1" applyFill="1" applyBorder="1" applyProtection="1"/>
    <xf numFmtId="37" fontId="3" fillId="0" borderId="4" xfId="0" applyNumberFormat="1" applyFont="1" applyFill="1" applyBorder="1" applyProtection="1"/>
    <xf numFmtId="37" fontId="3" fillId="0" borderId="5" xfId="0" applyNumberFormat="1" applyFont="1" applyFill="1" applyBorder="1" applyProtection="1"/>
    <xf numFmtId="37" fontId="0" fillId="0" borderId="5" xfId="0" applyNumberFormat="1" applyFill="1" applyBorder="1" applyProtection="1"/>
    <xf numFmtId="37" fontId="3" fillId="0" borderId="6" xfId="0" applyNumberFormat="1" applyFont="1" applyFill="1" applyBorder="1" applyProtection="1"/>
    <xf numFmtId="37" fontId="0" fillId="0" borderId="6" xfId="0" applyNumberFormat="1" applyFill="1" applyBorder="1" applyProtection="1"/>
    <xf numFmtId="0" fontId="5" fillId="0" borderId="0" xfId="2" applyBorder="1" applyAlignment="1" applyProtection="1"/>
    <xf numFmtId="37" fontId="0" fillId="0" borderId="0" xfId="0" applyNumberFormat="1" applyBorder="1" applyProtection="1"/>
    <xf numFmtId="37" fontId="0" fillId="0" borderId="2" xfId="0" applyNumberFormat="1" applyBorder="1" applyProtection="1"/>
    <xf numFmtId="14" fontId="6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4" fontId="7" fillId="0" borderId="0" xfId="0" applyNumberFormat="1" applyFont="1" applyBorder="1" applyAlignment="1">
      <alignment horizontal="center"/>
    </xf>
    <xf numFmtId="167" fontId="7" fillId="0" borderId="0" xfId="0" applyNumberFormat="1" applyFont="1"/>
    <xf numFmtId="167" fontId="2" fillId="0" borderId="0" xfId="0" applyNumberFormat="1" applyFont="1"/>
    <xf numFmtId="10" fontId="0" fillId="2" borderId="0" xfId="0" applyNumberFormat="1" applyFill="1" applyBorder="1"/>
    <xf numFmtId="0" fontId="3" fillId="2" borderId="0" xfId="0" applyFont="1" applyFill="1" applyBorder="1" applyAlignment="1" applyProtection="1">
      <alignment horizontal="right"/>
    </xf>
    <xf numFmtId="168" fontId="0" fillId="2" borderId="0" xfId="0" applyNumberFormat="1" applyFill="1" applyBorder="1"/>
    <xf numFmtId="4" fontId="0" fillId="2" borderId="0" xfId="0" applyNumberFormat="1" applyFill="1" applyBorder="1"/>
    <xf numFmtId="2" fontId="0" fillId="2" borderId="0" xfId="0" applyNumberFormat="1" applyFill="1" applyBorder="1"/>
    <xf numFmtId="168" fontId="2" fillId="5" borderId="7" xfId="0" applyNumberFormat="1" applyFont="1" applyFill="1" applyBorder="1"/>
    <xf numFmtId="0" fontId="0" fillId="6" borderId="0" xfId="0" applyFill="1"/>
    <xf numFmtId="168" fontId="2" fillId="5" borderId="3" xfId="0" applyNumberFormat="1" applyFont="1" applyFill="1" applyBorder="1" applyAlignment="1">
      <alignment horizontal="left"/>
    </xf>
    <xf numFmtId="168" fontId="2" fillId="5" borderId="8" xfId="0" applyNumberFormat="1" applyFont="1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10" xfId="0" applyFont="1" applyFill="1" applyBorder="1"/>
    <xf numFmtId="0" fontId="0" fillId="2" borderId="11" xfId="0" applyFill="1" applyBorder="1"/>
    <xf numFmtId="0" fontId="0" fillId="2" borderId="1" xfId="0" applyFill="1" applyBorder="1"/>
    <xf numFmtId="0" fontId="0" fillId="2" borderId="12" xfId="0" applyFill="1" applyBorder="1"/>
    <xf numFmtId="0" fontId="6" fillId="2" borderId="10" xfId="0" applyNumberFormat="1" applyFont="1" applyFill="1" applyBorder="1"/>
    <xf numFmtId="10" fontId="0" fillId="2" borderId="0" xfId="0" applyNumberFormat="1" applyFill="1" applyBorder="1" applyAlignment="1">
      <alignment horizontal="right"/>
    </xf>
    <xf numFmtId="0" fontId="0" fillId="7" borderId="0" xfId="0" applyFill="1"/>
    <xf numFmtId="0" fontId="0" fillId="7" borderId="0" xfId="0" applyFill="1" applyBorder="1"/>
    <xf numFmtId="0" fontId="2" fillId="7" borderId="0" xfId="0" applyFont="1" applyFill="1" applyBorder="1"/>
    <xf numFmtId="0" fontId="10" fillId="2" borderId="6" xfId="0" applyFont="1" applyFill="1" applyBorder="1" applyAlignment="1"/>
    <xf numFmtId="0" fontId="10" fillId="7" borderId="0" xfId="0" applyFont="1" applyFill="1" applyBorder="1"/>
    <xf numFmtId="0" fontId="0" fillId="7" borderId="0" xfId="0" applyFill="1" applyBorder="1" applyProtection="1"/>
    <xf numFmtId="0" fontId="3" fillId="7" borderId="0" xfId="0" applyFont="1" applyFill="1" applyBorder="1" applyAlignment="1">
      <alignment horizontal="left"/>
    </xf>
    <xf numFmtId="0" fontId="0" fillId="7" borderId="6" xfId="0" applyFill="1" applyBorder="1"/>
    <xf numFmtId="0" fontId="0" fillId="7" borderId="6" xfId="0" applyFill="1" applyBorder="1" applyAlignment="1">
      <alignment horizontal="left"/>
    </xf>
    <xf numFmtId="0" fontId="2" fillId="7" borderId="6" xfId="0" applyFont="1" applyFill="1" applyBorder="1"/>
    <xf numFmtId="0" fontId="0" fillId="7" borderId="6" xfId="0" applyFill="1" applyBorder="1" applyAlignment="1">
      <alignment horizontal="center"/>
    </xf>
    <xf numFmtId="0" fontId="0" fillId="7" borderId="6" xfId="0" applyFill="1" applyBorder="1" applyProtection="1"/>
    <xf numFmtId="0" fontId="2" fillId="7" borderId="6" xfId="0" applyFont="1" applyFill="1" applyBorder="1" applyAlignment="1">
      <alignment horizontal="center"/>
    </xf>
    <xf numFmtId="0" fontId="19" fillId="7" borderId="0" xfId="2" applyFont="1" applyFill="1" applyBorder="1" applyAlignment="1" applyProtection="1"/>
    <xf numFmtId="0" fontId="2" fillId="7" borderId="0" xfId="0" applyFont="1" applyFill="1" applyBorder="1" applyAlignment="1">
      <alignment horizontal="center"/>
    </xf>
    <xf numFmtId="0" fontId="3" fillId="7" borderId="0" xfId="0" applyFont="1" applyFill="1" applyBorder="1"/>
    <xf numFmtId="0" fontId="3" fillId="7" borderId="6" xfId="0" applyFont="1" applyFill="1" applyBorder="1"/>
    <xf numFmtId="0" fontId="3" fillId="8" borderId="0" xfId="0" applyFont="1" applyFill="1"/>
    <xf numFmtId="0" fontId="19" fillId="7" borderId="0" xfId="2" applyFont="1" applyFill="1" applyAlignment="1" applyProtection="1"/>
    <xf numFmtId="0" fontId="10" fillId="7" borderId="0" xfId="0" applyFont="1" applyFill="1"/>
    <xf numFmtId="0" fontId="13" fillId="7" borderId="0" xfId="0" applyFont="1" applyFill="1"/>
    <xf numFmtId="0" fontId="2" fillId="7" borderId="0" xfId="0" applyFont="1" applyFill="1"/>
    <xf numFmtId="49" fontId="10" fillId="7" borderId="0" xfId="0" applyNumberFormat="1" applyFont="1" applyFill="1" applyBorder="1"/>
    <xf numFmtId="0" fontId="14" fillId="7" borderId="0" xfId="0" applyFont="1" applyFill="1" applyBorder="1"/>
    <xf numFmtId="0" fontId="13" fillId="7" borderId="0" xfId="0" applyFont="1" applyFill="1" applyBorder="1"/>
    <xf numFmtId="0" fontId="6" fillId="7" borderId="0" xfId="0" applyFont="1" applyFill="1" applyBorder="1"/>
    <xf numFmtId="0" fontId="6" fillId="7" borderId="6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13" fillId="7" borderId="0" xfId="0" applyFont="1" applyFill="1" applyBorder="1" applyAlignment="1">
      <alignment horizontal="left"/>
    </xf>
    <xf numFmtId="0" fontId="13" fillId="7" borderId="0" xfId="0" applyFont="1" applyFill="1" applyBorder="1" applyAlignment="1">
      <alignment horizontal="right"/>
    </xf>
    <xf numFmtId="0" fontId="15" fillId="7" borderId="0" xfId="2" applyFont="1" applyFill="1" applyBorder="1" applyAlignment="1" applyProtection="1"/>
    <xf numFmtId="0" fontId="5" fillId="7" borderId="0" xfId="2" applyFill="1" applyBorder="1" applyAlignment="1" applyProtection="1"/>
    <xf numFmtId="0" fontId="5" fillId="7" borderId="6" xfId="2" applyFill="1" applyBorder="1" applyAlignment="1" applyProtection="1"/>
    <xf numFmtId="14" fontId="13" fillId="7" borderId="0" xfId="0" applyNumberFormat="1" applyFont="1" applyFill="1" applyBorder="1"/>
    <xf numFmtId="0" fontId="0" fillId="7" borderId="6" xfId="0" applyFill="1" applyBorder="1" applyAlignment="1">
      <alignment horizontal="right"/>
    </xf>
    <xf numFmtId="14" fontId="0" fillId="7" borderId="6" xfId="0" applyNumberFormat="1" applyFill="1" applyBorder="1"/>
    <xf numFmtId="0" fontId="0" fillId="2" borderId="6" xfId="0" applyFill="1" applyBorder="1" applyAlignment="1"/>
    <xf numFmtId="0" fontId="12" fillId="7" borderId="0" xfId="0" applyFont="1" applyFill="1" applyBorder="1"/>
    <xf numFmtId="0" fontId="19" fillId="7" borderId="14" xfId="2" applyFont="1" applyFill="1" applyBorder="1" applyAlignment="1" applyProtection="1"/>
    <xf numFmtId="0" fontId="0" fillId="7" borderId="15" xfId="0" applyFill="1" applyBorder="1"/>
    <xf numFmtId="0" fontId="0" fillId="7" borderId="16" xfId="0" applyFill="1" applyBorder="1"/>
    <xf numFmtId="0" fontId="19" fillId="7" borderId="10" xfId="2" applyFont="1" applyFill="1" applyBorder="1" applyAlignment="1" applyProtection="1"/>
    <xf numFmtId="0" fontId="0" fillId="7" borderId="9" xfId="0" applyFill="1" applyBorder="1"/>
    <xf numFmtId="0" fontId="0" fillId="7" borderId="11" xfId="0" applyFill="1" applyBorder="1"/>
    <xf numFmtId="0" fontId="0" fillId="7" borderId="1" xfId="0" applyFill="1" applyBorder="1"/>
    <xf numFmtId="0" fontId="0" fillId="7" borderId="12" xfId="0" applyFill="1" applyBorder="1"/>
    <xf numFmtId="0" fontId="0" fillId="0" borderId="0" xfId="0" quotePrefix="1"/>
    <xf numFmtId="166" fontId="6" fillId="0" borderId="0" xfId="0" applyNumberFormat="1" applyFont="1"/>
    <xf numFmtId="164" fontId="6" fillId="0" borderId="0" xfId="3" applyNumberFormat="1" applyFont="1"/>
    <xf numFmtId="2" fontId="6" fillId="0" borderId="0" xfId="0" applyNumberFormat="1" applyFont="1"/>
    <xf numFmtId="166" fontId="3" fillId="0" borderId="0" xfId="0" applyNumberFormat="1" applyFont="1"/>
    <xf numFmtId="2" fontId="3" fillId="0" borderId="0" xfId="0" applyNumberFormat="1" applyFont="1"/>
    <xf numFmtId="169" fontId="6" fillId="0" borderId="0" xfId="0" applyNumberFormat="1" applyFont="1"/>
    <xf numFmtId="169" fontId="3" fillId="0" borderId="0" xfId="0" applyNumberFormat="1" applyFont="1"/>
    <xf numFmtId="0" fontId="0" fillId="0" borderId="0" xfId="0" applyAlignment="1"/>
    <xf numFmtId="3" fontId="6" fillId="0" borderId="0" xfId="0" applyNumberFormat="1" applyFont="1"/>
    <xf numFmtId="3" fontId="3" fillId="0" borderId="0" xfId="0" applyNumberFormat="1" applyFont="1"/>
    <xf numFmtId="37" fontId="6" fillId="0" borderId="0" xfId="0" applyNumberFormat="1" applyFont="1" applyAlignment="1"/>
    <xf numFmtId="37" fontId="3" fillId="0" borderId="0" xfId="0" applyNumberFormat="1" applyFont="1" applyAlignment="1"/>
    <xf numFmtId="0" fontId="6" fillId="3" borderId="3" xfId="1" applyNumberFormat="1" applyFont="1" applyFill="1" applyBorder="1" applyProtection="1">
      <protection locked="0"/>
    </xf>
    <xf numFmtId="0" fontId="3" fillId="0" borderId="0" xfId="2" applyFont="1" applyAlignment="1" applyProtection="1"/>
    <xf numFmtId="0" fontId="25" fillId="0" borderId="0" xfId="2" applyFont="1" applyFill="1" applyAlignment="1" applyProtection="1"/>
    <xf numFmtId="0" fontId="24" fillId="0" borderId="0" xfId="0" applyFont="1" applyAlignment="1"/>
    <xf numFmtId="0" fontId="3" fillId="0" borderId="17" xfId="0" applyFont="1" applyBorder="1"/>
    <xf numFmtId="0" fontId="6" fillId="0" borderId="17" xfId="0" applyFont="1" applyBorder="1"/>
    <xf numFmtId="0" fontId="0" fillId="0" borderId="17" xfId="0" applyBorder="1"/>
    <xf numFmtId="0" fontId="26" fillId="0" borderId="17" xfId="0" applyFont="1" applyBorder="1" applyAlignment="1"/>
    <xf numFmtId="0" fontId="17" fillId="0" borderId="0" xfId="2" quotePrefix="1" applyFont="1" applyAlignment="1" applyProtection="1"/>
    <xf numFmtId="0" fontId="5" fillId="7" borderId="6" xfId="2" applyFill="1" applyBorder="1" applyAlignment="1" applyProtection="1">
      <alignment horizontal="left"/>
    </xf>
    <xf numFmtId="0" fontId="10" fillId="7" borderId="0" xfId="2" applyFont="1" applyFill="1" applyBorder="1" applyAlignment="1" applyProtection="1"/>
    <xf numFmtId="0" fontId="2" fillId="0" borderId="0" xfId="2" applyFont="1" applyAlignment="1" applyProtection="1"/>
    <xf numFmtId="0" fontId="4" fillId="0" borderId="0" xfId="2" applyFont="1" applyAlignment="1" applyProtection="1"/>
    <xf numFmtId="0" fontId="1" fillId="0" borderId="0" xfId="2" applyFont="1" applyAlignment="1" applyProtection="1"/>
    <xf numFmtId="0" fontId="1" fillId="0" borderId="0" xfId="2" applyFont="1" applyBorder="1" applyAlignment="1" applyProtection="1"/>
    <xf numFmtId="0" fontId="1" fillId="0" borderId="0" xfId="2" quotePrefix="1" applyFont="1" applyAlignment="1" applyProtection="1"/>
    <xf numFmtId="0" fontId="28" fillId="0" borderId="0" xfId="0" applyFont="1"/>
    <xf numFmtId="170" fontId="6" fillId="0" borderId="0" xfId="0" applyNumberFormat="1" applyFont="1" applyFill="1" applyBorder="1"/>
    <xf numFmtId="164" fontId="1" fillId="0" borderId="0" xfId="3" applyNumberFormat="1" applyFont="1"/>
    <xf numFmtId="164" fontId="1" fillId="0" borderId="0" xfId="0" applyNumberFormat="1" applyFont="1"/>
    <xf numFmtId="170" fontId="1" fillId="0" borderId="0" xfId="0" applyNumberFormat="1" applyFont="1" applyFill="1" applyBorder="1"/>
    <xf numFmtId="0" fontId="17" fillId="0" borderId="17" xfId="2" applyFont="1" applyBorder="1" applyAlignment="1" applyProtection="1">
      <alignment shrinkToFit="1"/>
    </xf>
    <xf numFmtId="0" fontId="0" fillId="2" borderId="0" xfId="0" applyFill="1" applyAlignment="1">
      <alignment horizontal="center"/>
    </xf>
    <xf numFmtId="0" fontId="17" fillId="2" borderId="0" xfId="2" applyFont="1" applyFill="1" applyAlignment="1" applyProtection="1"/>
    <xf numFmtId="0" fontId="0" fillId="2" borderId="0" xfId="0" quotePrefix="1" applyFill="1" applyAlignment="1">
      <alignment horizontal="left"/>
    </xf>
    <xf numFmtId="10" fontId="0" fillId="0" borderId="0" xfId="3" quotePrefix="1" applyNumberFormat="1" applyFont="1" applyFill="1" applyBorder="1"/>
    <xf numFmtId="10" fontId="0" fillId="4" borderId="0" xfId="0" applyNumberFormat="1" applyFill="1"/>
    <xf numFmtId="2" fontId="2" fillId="2" borderId="0" xfId="0" applyNumberFormat="1" applyFont="1" applyFill="1"/>
    <xf numFmtId="10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0" fillId="2" borderId="0" xfId="0" applyFill="1" applyAlignment="1"/>
    <xf numFmtId="171" fontId="0" fillId="3" borderId="3" xfId="0" applyNumberFormat="1" applyFill="1" applyBorder="1" applyAlignment="1" applyProtection="1">
      <alignment horizontal="center"/>
      <protection locked="0"/>
    </xf>
    <xf numFmtId="164" fontId="6" fillId="0" borderId="0" xfId="0" applyNumberFormat="1" applyFont="1" applyBorder="1"/>
    <xf numFmtId="164" fontId="3" fillId="0" borderId="0" xfId="0" applyNumberFormat="1" applyFont="1" applyBorder="1"/>
    <xf numFmtId="0" fontId="18" fillId="0" borderId="0" xfId="0" applyFont="1" applyBorder="1"/>
    <xf numFmtId="37" fontId="6" fillId="3" borderId="3" xfId="1" applyNumberFormat="1" applyFont="1" applyFill="1" applyBorder="1" applyProtection="1">
      <protection locked="0"/>
    </xf>
    <xf numFmtId="172" fontId="6" fillId="3" borderId="3" xfId="0" applyNumberFormat="1" applyFont="1" applyFill="1" applyBorder="1" applyProtection="1">
      <protection locked="0"/>
    </xf>
    <xf numFmtId="37" fontId="6" fillId="3" borderId="18" xfId="0" applyNumberFormat="1" applyFont="1" applyFill="1" applyBorder="1" applyProtection="1">
      <protection locked="0"/>
    </xf>
    <xf numFmtId="0" fontId="4" fillId="0" borderId="0" xfId="0" applyFont="1"/>
    <xf numFmtId="172" fontId="0" fillId="0" borderId="1" xfId="0" applyNumberFormat="1" applyBorder="1" applyAlignment="1" applyProtection="1">
      <alignment horizontal="center"/>
    </xf>
    <xf numFmtId="172" fontId="6" fillId="0" borderId="1" xfId="0" applyNumberFormat="1" applyFon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172" fontId="6" fillId="0" borderId="0" xfId="0" applyNumberFormat="1" applyFont="1" applyBorder="1" applyAlignment="1">
      <alignment horizontal="center"/>
    </xf>
    <xf numFmtId="172" fontId="3" fillId="0" borderId="1" xfId="0" applyNumberFormat="1" applyFont="1" applyBorder="1" applyAlignment="1">
      <alignment horizontal="center"/>
    </xf>
    <xf numFmtId="172" fontId="3" fillId="0" borderId="1" xfId="0" applyNumberFormat="1" applyFont="1" applyBorder="1" applyAlignment="1" applyProtection="1">
      <alignment horizontal="center"/>
    </xf>
    <xf numFmtId="172" fontId="0" fillId="3" borderId="3" xfId="0" applyNumberFormat="1" applyFill="1" applyBorder="1" applyAlignment="1" applyProtection="1">
      <alignment horizontal="center"/>
      <protection locked="0"/>
    </xf>
    <xf numFmtId="172" fontId="0" fillId="0" borderId="1" xfId="0" applyNumberFormat="1" applyFill="1" applyBorder="1" applyAlignment="1">
      <alignment horizontal="center"/>
    </xf>
    <xf numFmtId="172" fontId="0" fillId="2" borderId="0" xfId="0" applyNumberFormat="1" applyFill="1" applyBorder="1" applyAlignment="1">
      <alignment horizontal="right"/>
    </xf>
    <xf numFmtId="172" fontId="0" fillId="2" borderId="0" xfId="0" applyNumberFormat="1" applyFill="1" applyBorder="1"/>
    <xf numFmtId="0" fontId="30" fillId="4" borderId="0" xfId="0" applyFont="1" applyFill="1"/>
    <xf numFmtId="172" fontId="6" fillId="3" borderId="19" xfId="0" applyNumberFormat="1" applyFont="1" applyFill="1" applyBorder="1" applyAlignment="1" applyProtection="1">
      <alignment horizontal="right"/>
      <protection locked="0"/>
    </xf>
    <xf numFmtId="0" fontId="0" fillId="2" borderId="0" xfId="0" applyFont="1" applyFill="1"/>
    <xf numFmtId="173" fontId="6" fillId="3" borderId="19" xfId="0" applyNumberFormat="1" applyFont="1" applyFill="1" applyBorder="1" applyAlignment="1" applyProtection="1">
      <alignment horizontal="right"/>
      <protection locked="0"/>
    </xf>
    <xf numFmtId="172" fontId="6" fillId="3" borderId="19" xfId="0" applyNumberFormat="1" applyFont="1" applyFill="1" applyBorder="1" applyAlignment="1" applyProtection="1">
      <alignment horizontal="center"/>
      <protection locked="0"/>
    </xf>
    <xf numFmtId="0" fontId="5" fillId="0" borderId="0" xfId="2" applyAlignment="1" applyProtection="1"/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5" fillId="2" borderId="0" xfId="2" applyFill="1" applyAlignment="1" applyProtection="1"/>
    <xf numFmtId="0" fontId="5" fillId="0" borderId="0" xfId="2" applyAlignment="1" applyProtection="1"/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2" fillId="2" borderId="0" xfId="0" applyFont="1" applyFill="1" applyAlignment="1">
      <alignment horizontal="center"/>
    </xf>
    <xf numFmtId="37" fontId="6" fillId="3" borderId="20" xfId="0" applyNumberFormat="1" applyFont="1" applyFill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7" borderId="0" xfId="0" applyFill="1" applyBorder="1" applyAlignment="1">
      <alignment wrapText="1"/>
    </xf>
    <xf numFmtId="0" fontId="0" fillId="0" borderId="0" xfId="0" applyAlignment="1">
      <alignment wrapText="1"/>
    </xf>
    <xf numFmtId="2" fontId="29" fillId="7" borderId="5" xfId="0" applyNumberFormat="1" applyFont="1" applyFill="1" applyBorder="1" applyAlignment="1">
      <alignment wrapText="1"/>
    </xf>
    <xf numFmtId="2" fontId="29" fillId="7" borderId="0" xfId="0" applyNumberFormat="1" applyFont="1" applyFill="1" applyBorder="1" applyAlignment="1">
      <alignment wrapText="1"/>
    </xf>
    <xf numFmtId="2" fontId="29" fillId="7" borderId="0" xfId="0" applyNumberFormat="1" applyFont="1" applyFill="1" applyAlignment="1">
      <alignment wrapText="1"/>
    </xf>
    <xf numFmtId="0" fontId="17" fillId="0" borderId="0" xfId="2" applyFont="1" applyAlignment="1" applyProtection="1"/>
    <xf numFmtId="0" fontId="2" fillId="0" borderId="0" xfId="0" applyFont="1" applyAlignment="1"/>
    <xf numFmtId="0" fontId="2" fillId="7" borderId="0" xfId="0" applyFon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" fillId="2" borderId="0" xfId="2" applyFont="1" applyFill="1" applyAlignment="1" applyProtection="1"/>
    <xf numFmtId="0" fontId="2" fillId="2" borderId="0" xfId="0" applyFont="1" applyFill="1"/>
    <xf numFmtId="0" fontId="19" fillId="7" borderId="0" xfId="2" applyFont="1" applyFill="1" applyBorder="1" applyAlignment="1" applyProtection="1"/>
    <xf numFmtId="0" fontId="19" fillId="7" borderId="0" xfId="0" applyFont="1" applyFill="1" applyBorder="1"/>
    <xf numFmtId="0" fontId="10" fillId="7" borderId="6" xfId="0" applyFont="1" applyFill="1" applyBorder="1" applyAlignment="1"/>
    <xf numFmtId="0" fontId="0" fillId="7" borderId="6" xfId="0" applyFill="1" applyBorder="1" applyAlignment="1"/>
    <xf numFmtId="0" fontId="5" fillId="0" borderId="0" xfId="2" applyFill="1" applyAlignment="1" applyProtection="1">
      <alignment horizontal="center"/>
    </xf>
    <xf numFmtId="0" fontId="0" fillId="0" borderId="0" xfId="0" applyAlignment="1">
      <alignment horizontal="center"/>
    </xf>
    <xf numFmtId="0" fontId="6" fillId="3" borderId="20" xfId="0" applyFont="1" applyFill="1" applyBorder="1" applyAlignment="1" applyProtection="1">
      <alignment horizontal="left"/>
      <protection locked="0"/>
    </xf>
    <xf numFmtId="0" fontId="0" fillId="0" borderId="21" xfId="0" applyBorder="1" applyAlignment="1">
      <alignment horizontal="left"/>
    </xf>
    <xf numFmtId="0" fontId="6" fillId="3" borderId="21" xfId="0" applyFont="1" applyFill="1" applyBorder="1" applyAlignment="1" applyProtection="1">
      <alignment horizontal="left"/>
      <protection locked="0"/>
    </xf>
    <xf numFmtId="0" fontId="1" fillId="0" borderId="0" xfId="0" applyFont="1"/>
  </cellXfs>
  <cellStyles count="9">
    <cellStyle name="Comma" xfId="1" builtinId="3"/>
    <cellStyle name="Comma 2" xfId="5" xr:uid="{00000000-0005-0000-0000-000001000000}"/>
    <cellStyle name="Followed Hyperlink" xfId="6" builtinId="9" hidden="1"/>
    <cellStyle name="Followed Hyperlink" xfId="7" builtinId="9" hidden="1"/>
    <cellStyle name="Followed Hyperlink" xfId="8" builtinId="9" hidden="1"/>
    <cellStyle name="Hyperlink" xfId="2" builtinId="8"/>
    <cellStyle name="Normal" xfId="0" builtinId="0"/>
    <cellStyle name="Normal 2" xfId="4" xr:uid="{00000000-0005-0000-0000-000007000000}"/>
    <cellStyle name="Percent" xfId="3" builtinId="5"/>
  </cellStyles>
  <dxfs count="10">
    <dxf>
      <fill>
        <patternFill>
          <bgColor indexed="29"/>
        </patternFill>
      </fill>
    </dxf>
    <dxf>
      <fill>
        <patternFill patternType="solid"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254000</xdr:colOff>
      <xdr:row>17</xdr:row>
      <xdr:rowOff>0</xdr:rowOff>
    </xdr:from>
    <xdr:to>
      <xdr:col>7</xdr:col>
      <xdr:colOff>257214</xdr:colOff>
      <xdr:row>18</xdr:row>
      <xdr:rowOff>38466</xdr:rowOff>
    </xdr:to>
    <xdr:sp macro="" textlink="">
      <xdr:nvSpPr>
        <xdr:cNvPr id="82982" name="Text Box 38">
          <a:extLst>
            <a:ext uri="{FF2B5EF4-FFF2-40B4-BE49-F238E27FC236}">
              <a16:creationId xmlns:a16="http://schemas.microsoft.com/office/drawing/2014/main" id="{00000000-0008-0000-0000-000026440100}"/>
            </a:ext>
          </a:extLst>
        </xdr:cNvPr>
        <xdr:cNvSpPr txBox="1">
          <a:spLocks noChangeArrowheads="1"/>
        </xdr:cNvSpPr>
      </xdr:nvSpPr>
      <xdr:spPr bwMode="auto">
        <a:xfrm>
          <a:off x="2011680" y="3078480"/>
          <a:ext cx="2367987" cy="22896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© 2017, Russell Lundholm and Richard Sloan.</a:t>
          </a:r>
        </a:p>
      </xdr:txBody>
    </xdr:sp>
    <xdr:clientData/>
  </xdr:twoCellAnchor>
  <xdr:twoCellAnchor>
    <xdr:from>
      <xdr:col>6</xdr:col>
      <xdr:colOff>379730</xdr:colOff>
      <xdr:row>9</xdr:row>
      <xdr:rowOff>66040</xdr:rowOff>
    </xdr:from>
    <xdr:to>
      <xdr:col>9</xdr:col>
      <xdr:colOff>389963</xdr:colOff>
      <xdr:row>11</xdr:row>
      <xdr:rowOff>30480</xdr:rowOff>
    </xdr:to>
    <xdr:sp macro="" textlink="">
      <xdr:nvSpPr>
        <xdr:cNvPr id="82978" name="Text Box 34">
          <a:extLst>
            <a:ext uri="{FF2B5EF4-FFF2-40B4-BE49-F238E27FC236}">
              <a16:creationId xmlns:a16="http://schemas.microsoft.com/office/drawing/2014/main" id="{00000000-0008-0000-0000-000022440100}"/>
            </a:ext>
          </a:extLst>
        </xdr:cNvPr>
        <xdr:cNvSpPr txBox="1">
          <a:spLocks noChangeArrowheads="1"/>
        </xdr:cNvSpPr>
      </xdr:nvSpPr>
      <xdr:spPr bwMode="auto">
        <a:xfrm>
          <a:off x="4403090" y="1803400"/>
          <a:ext cx="2021913" cy="30988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Version 5.00</a:t>
          </a:r>
        </a:p>
      </xdr:txBody>
    </xdr:sp>
    <xdr:clientData/>
  </xdr:twoCellAnchor>
  <xdr:twoCellAnchor>
    <xdr:from>
      <xdr:col>0</xdr:col>
      <xdr:colOff>63500</xdr:colOff>
      <xdr:row>14</xdr:row>
      <xdr:rowOff>139700</xdr:rowOff>
    </xdr:from>
    <xdr:to>
      <xdr:col>9</xdr:col>
      <xdr:colOff>528320</xdr:colOff>
      <xdr:row>16</xdr:row>
      <xdr:rowOff>114300</xdr:rowOff>
    </xdr:to>
    <xdr:sp macro="" textlink="">
      <xdr:nvSpPr>
        <xdr:cNvPr id="1808" name="Rectangle 5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rrowheads="1"/>
        </xdr:cNvSpPr>
      </xdr:nvSpPr>
      <xdr:spPr bwMode="auto">
        <a:xfrm>
          <a:off x="63500" y="2669540"/>
          <a:ext cx="6499860" cy="360680"/>
        </a:xfrm>
        <a:prstGeom prst="rect">
          <a:avLst/>
        </a:prstGeom>
        <a:solidFill>
          <a:srgbClr val="3366FF"/>
        </a:solidFill>
        <a:ln>
          <a:noFill/>
        </a:ln>
        <a:effectLst>
          <a:outerShdw blurRad="63500" dist="38099" dir="2700000" algn="ctr" rotWithShape="0">
            <a:srgbClr val="000000">
              <a:alpha val="74998"/>
            </a:srgbClr>
          </a:outerShdw>
        </a:effec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2</xdr:col>
      <xdr:colOff>79375</xdr:colOff>
      <xdr:row>14</xdr:row>
      <xdr:rowOff>152400</xdr:rowOff>
    </xdr:from>
    <xdr:to>
      <xdr:col>5</xdr:col>
      <xdr:colOff>352411</xdr:colOff>
      <xdr:row>16</xdr:row>
      <xdr:rowOff>76200</xdr:rowOff>
    </xdr:to>
    <xdr:sp macro="" textlink="">
      <xdr:nvSpPr>
        <xdr:cNvPr id="1749" name="Text Box 55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247775" y="2657475"/>
          <a:ext cx="2019300" cy="30480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32004" rIns="0" bIns="0" anchor="t" upright="1"/>
        <a:lstStyle/>
        <a:p>
          <a:pPr algn="l" rtl="0">
            <a:defRPr sz="1000"/>
          </a:pPr>
          <a:r>
            <a:rPr lang="en-US" sz="1800" b="0" i="0" u="none" strike="noStrike" baseline="0">
              <a:solidFill>
                <a:srgbClr val="FFCC00"/>
              </a:solidFill>
              <a:latin typeface="Berlin Sans FB"/>
              <a:ea typeface="Berlin Sans FB"/>
              <a:cs typeface="Berlin Sans FB"/>
            </a:rPr>
            <a:t>Russell Lundholm</a:t>
          </a:r>
        </a:p>
      </xdr:txBody>
    </xdr:sp>
    <xdr:clientData/>
  </xdr:twoCellAnchor>
  <xdr:twoCellAnchor>
    <xdr:from>
      <xdr:col>6</xdr:col>
      <xdr:colOff>79375</xdr:colOff>
      <xdr:row>14</xdr:row>
      <xdr:rowOff>152400</xdr:rowOff>
    </xdr:from>
    <xdr:to>
      <xdr:col>9</xdr:col>
      <xdr:colOff>98425</xdr:colOff>
      <xdr:row>16</xdr:row>
      <xdr:rowOff>76200</xdr:rowOff>
    </xdr:to>
    <xdr:sp macro="" textlink="">
      <xdr:nvSpPr>
        <xdr:cNvPr id="1750" name="Text Box 56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3609975" y="2657475"/>
          <a:ext cx="1790700" cy="30480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32004" rIns="0" bIns="0" anchor="t" upright="1"/>
        <a:lstStyle/>
        <a:p>
          <a:pPr algn="l" rtl="0">
            <a:defRPr sz="1000"/>
          </a:pPr>
          <a:r>
            <a:rPr lang="en-US" sz="1800" b="0" i="0" u="none" strike="noStrike" baseline="0">
              <a:solidFill>
                <a:schemeClr val="accent2">
                  <a:lumMod val="75000"/>
                </a:schemeClr>
              </a:solidFill>
              <a:latin typeface="Berlin Sans FB"/>
              <a:ea typeface="Berlin Sans FB"/>
              <a:cs typeface="Berlin Sans FB"/>
            </a:rPr>
            <a:t>Richard Sloan</a:t>
          </a:r>
        </a:p>
      </xdr:txBody>
    </xdr:sp>
    <xdr:clientData/>
  </xdr:twoCellAnchor>
  <xdr:twoCellAnchor editAs="oneCell">
    <xdr:from>
      <xdr:col>2</xdr:col>
      <xdr:colOff>640080</xdr:colOff>
      <xdr:row>0</xdr:row>
      <xdr:rowOff>0</xdr:rowOff>
    </xdr:from>
    <xdr:to>
      <xdr:col>7</xdr:col>
      <xdr:colOff>71120</xdr:colOff>
      <xdr:row>14</xdr:row>
      <xdr:rowOff>139596</xdr:rowOff>
    </xdr:to>
    <xdr:pic>
      <xdr:nvPicPr>
        <xdr:cNvPr id="2" name="Picture 1" descr="CrystalBal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0"/>
          <a:ext cx="2783840" cy="2669436"/>
        </a:xfrm>
        <a:prstGeom prst="rect">
          <a:avLst/>
        </a:prstGeom>
      </xdr:spPr>
    </xdr:pic>
    <xdr:clientData/>
  </xdr:twoCellAnchor>
  <xdr:oneCellAnchor>
    <xdr:from>
      <xdr:col>0</xdr:col>
      <xdr:colOff>101600</xdr:colOff>
      <xdr:row>1</xdr:row>
      <xdr:rowOff>66654</xdr:rowOff>
    </xdr:from>
    <xdr:ext cx="6451600" cy="1680866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1600" y="259694"/>
          <a:ext cx="6451600" cy="1680866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none" lIns="91440" tIns="45720" rIns="91440" bIns="45720">
          <a:prstTxWarp prst="textChevron">
            <a:avLst>
              <a:gd name="adj" fmla="val 50000"/>
            </a:avLst>
          </a:prstTxWarp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en-US" sz="5400" b="1" i="1" cap="none" spc="0">
              <a:ln w="12700">
                <a:solidFill>
                  <a:schemeClr val="tx2">
                    <a:lumMod val="40000"/>
                    <a:lumOff val="6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  <a:reflection blurRad="6350" stA="55000" endA="300" endPos="45500" dir="5400000" sy="-100000" algn="bl" rotWithShape="0"/>
              </a:effectLst>
              <a:latin typeface="Times New Roman"/>
              <a:cs typeface="Times New Roman"/>
            </a:rPr>
            <a:t>e</a:t>
          </a:r>
          <a:r>
            <a:rPr lang="en-US" sz="5400" b="1" i="0" cap="none" spc="0">
              <a:ln w="12700">
                <a:solidFill>
                  <a:schemeClr val="tx2">
                    <a:lumMod val="40000"/>
                    <a:lumOff val="6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  <a:reflection blurRad="6350" stA="55000" endA="300" endPos="45500" dir="5400000" sy="-100000" algn="bl" rotWithShape="0"/>
              </a:effectLst>
              <a:latin typeface="Times New Roman"/>
              <a:cs typeface="Times New Roman"/>
            </a:rPr>
            <a:t>Val</a:t>
          </a:r>
          <a:endParaRPr lang="en-US" sz="5400" b="1" i="0" cap="all" spc="0">
            <a:ln w="12700">
              <a:solidFill>
                <a:schemeClr val="tx2">
                  <a:lumMod val="40000"/>
                  <a:lumOff val="60000"/>
                </a:schemeClr>
              </a:solidFill>
              <a:prstDash val="solid"/>
            </a:ln>
            <a:solidFill>
              <a:schemeClr val="tx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  <a:reflection blurRad="6350" stA="55000" endA="300" endPos="45500" dir="5400000" sy="-100000" algn="bl" rotWithShape="0"/>
            </a:effectLst>
            <a:latin typeface="Times New Roman"/>
            <a:cs typeface="Times New Roman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17</xdr:row>
      <xdr:rowOff>149225</xdr:rowOff>
    </xdr:from>
    <xdr:to>
      <xdr:col>5</xdr:col>
      <xdr:colOff>600132</xdr:colOff>
      <xdr:row>20</xdr:row>
      <xdr:rowOff>123825</xdr:rowOff>
    </xdr:to>
    <xdr:sp macro="" textlink="">
      <xdr:nvSpPr>
        <xdr:cNvPr id="10361" name="Text Box 11">
          <a:extLst>
            <a:ext uri="{FF2B5EF4-FFF2-40B4-BE49-F238E27FC236}">
              <a16:creationId xmlns:a16="http://schemas.microsoft.com/office/drawing/2014/main" id="{00000000-0008-0000-0900-000079280000}"/>
            </a:ext>
          </a:extLst>
        </xdr:cNvPr>
        <xdr:cNvSpPr txBox="1">
          <a:spLocks noChangeArrowheads="1"/>
        </xdr:cNvSpPr>
      </xdr:nvSpPr>
      <xdr:spPr bwMode="auto">
        <a:xfrm>
          <a:off x="3829050" y="3057525"/>
          <a:ext cx="3362325" cy="42862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Although not a necessary input for </a:t>
          </a:r>
          <a:r>
            <a:rPr lang="en-US" sz="900" b="1" i="0" u="none" strike="noStrike" baseline="0">
              <a:solidFill>
                <a:srgbClr val="339966"/>
              </a:solidFill>
              <a:latin typeface="Arial"/>
              <a:ea typeface="Arial"/>
              <a:cs typeface="Arial"/>
            </a:rPr>
            <a:t>eVal</a:t>
          </a:r>
          <a:r>
            <a:rPr lang="en-US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, we recommend that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you find the analyst forecasts for your company and store them in the yellow-shaded cells for comparison purposes.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undholmandsloan.com/case_materials" TargetMode="External"/><Relationship Id="rId13" Type="http://schemas.openxmlformats.org/officeDocument/2006/relationships/hyperlink" Target="http://www.lundholmandsloan.com/book.html" TargetMode="External"/><Relationship Id="rId18" Type="http://schemas.openxmlformats.org/officeDocument/2006/relationships/hyperlink" Target="http://www.lundholmandsloan.com/software.html" TargetMode="External"/><Relationship Id="rId3" Type="http://schemas.openxmlformats.org/officeDocument/2006/relationships/hyperlink" Target="http://www.lundholmandsloan.com/case_materials.html" TargetMode="External"/><Relationship Id="rId21" Type="http://schemas.openxmlformats.org/officeDocument/2006/relationships/hyperlink" Target="http://www.lundholmandsloan.com/software.html" TargetMode="External"/><Relationship Id="rId7" Type="http://schemas.openxmlformats.org/officeDocument/2006/relationships/hyperlink" Target="http://www.lundholmandsloan.com/case_materials.html" TargetMode="External"/><Relationship Id="rId12" Type="http://schemas.openxmlformats.org/officeDocument/2006/relationships/hyperlink" Target="http://www.lundholmandsloan.com/book.html" TargetMode="External"/><Relationship Id="rId17" Type="http://schemas.openxmlformats.org/officeDocument/2006/relationships/hyperlink" Target="http://www.lundholmandsloan.com/software.html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lundholmandsloan.com/case_materials.html" TargetMode="External"/><Relationship Id="rId16" Type="http://schemas.openxmlformats.org/officeDocument/2006/relationships/hyperlink" Target="http://www.lundholmandsloan.com/software.html" TargetMode="External"/><Relationship Id="rId20" Type="http://schemas.openxmlformats.org/officeDocument/2006/relationships/hyperlink" Target="http://www.lundholmandsloan.com/software.html" TargetMode="External"/><Relationship Id="rId1" Type="http://schemas.openxmlformats.org/officeDocument/2006/relationships/hyperlink" Target="http://www.lundholmandsloan.com/case_materials.html" TargetMode="External"/><Relationship Id="rId6" Type="http://schemas.openxmlformats.org/officeDocument/2006/relationships/hyperlink" Target="http://www.lundholmandsloan.com/case_materials.html" TargetMode="External"/><Relationship Id="rId11" Type="http://schemas.openxmlformats.org/officeDocument/2006/relationships/hyperlink" Target="http://www.lundholmandsloan.com/book.html" TargetMode="External"/><Relationship Id="rId24" Type="http://schemas.openxmlformats.org/officeDocument/2006/relationships/hyperlink" Target="https://www.lundholmandsloan.com/software" TargetMode="External"/><Relationship Id="rId5" Type="http://schemas.openxmlformats.org/officeDocument/2006/relationships/hyperlink" Target="http://www.lundholmandsloan.com/case_materials.html" TargetMode="External"/><Relationship Id="rId15" Type="http://schemas.openxmlformats.org/officeDocument/2006/relationships/hyperlink" Target="http://www.lundholmandsloan.com/book.html" TargetMode="External"/><Relationship Id="rId23" Type="http://schemas.openxmlformats.org/officeDocument/2006/relationships/hyperlink" Target="https://www.lundholmandsloan.com/book" TargetMode="External"/><Relationship Id="rId10" Type="http://schemas.openxmlformats.org/officeDocument/2006/relationships/hyperlink" Target="http://www.lundholmandsloan.com/book.html" TargetMode="External"/><Relationship Id="rId19" Type="http://schemas.openxmlformats.org/officeDocument/2006/relationships/hyperlink" Target="http://www.lundholmandsloan.com/software.html" TargetMode="External"/><Relationship Id="rId4" Type="http://schemas.openxmlformats.org/officeDocument/2006/relationships/hyperlink" Target="http://www.lundholmandsloan.com/case_materials.html" TargetMode="External"/><Relationship Id="rId9" Type="http://schemas.openxmlformats.org/officeDocument/2006/relationships/hyperlink" Target="http://www.lundholmandsloan.com/book.html" TargetMode="External"/><Relationship Id="rId14" Type="http://schemas.openxmlformats.org/officeDocument/2006/relationships/hyperlink" Target="http://www.lundholmandsloan.com/book.html" TargetMode="External"/><Relationship Id="rId22" Type="http://schemas.openxmlformats.org/officeDocument/2006/relationships/hyperlink" Target="http://www.lundholmandsloan.com/software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K28"/>
  <sheetViews>
    <sheetView tabSelected="1" zoomScale="125" workbookViewId="0"/>
  </sheetViews>
  <sheetFormatPr baseColWidth="10" defaultColWidth="8.83203125" defaultRowHeight="15" customHeight="1"/>
  <cols>
    <col min="1" max="16384" width="8.83203125" style="82"/>
  </cols>
  <sheetData>
    <row r="1" spans="1:11" ht="15" customHeight="1">
      <c r="A1" s="84"/>
      <c r="B1" s="84"/>
      <c r="C1" s="84"/>
      <c r="D1" s="84"/>
      <c r="E1" s="84"/>
      <c r="F1" s="84"/>
      <c r="G1" s="84"/>
      <c r="H1" s="84"/>
      <c r="I1" s="84"/>
      <c r="J1" s="84"/>
    </row>
    <row r="2" spans="1:11" ht="15" customHeight="1">
      <c r="A2" s="85"/>
      <c r="B2" s="85"/>
      <c r="C2" s="85"/>
      <c r="D2" s="85"/>
      <c r="E2" s="85"/>
      <c r="F2" s="86"/>
      <c r="G2" s="84"/>
      <c r="H2" s="84"/>
      <c r="I2" s="84"/>
      <c r="J2" s="84"/>
    </row>
    <row r="3" spans="1:11" ht="15" customHeight="1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1" ht="15" customHeight="1">
      <c r="A4" s="84"/>
      <c r="B4" s="84"/>
      <c r="C4" s="84"/>
      <c r="D4" s="84"/>
      <c r="E4" s="84"/>
      <c r="F4" s="87"/>
      <c r="G4" s="84"/>
      <c r="H4" s="84"/>
      <c r="I4" s="84"/>
      <c r="J4" s="84"/>
    </row>
    <row r="5" spans="1:11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</row>
    <row r="6" spans="1:11" ht="15" customHeight="1">
      <c r="A6" s="84"/>
      <c r="B6" s="84"/>
      <c r="C6" s="84"/>
      <c r="D6" s="84"/>
      <c r="E6" s="84"/>
      <c r="F6" s="84"/>
      <c r="G6" s="84"/>
      <c r="H6" s="84"/>
      <c r="I6" s="84"/>
      <c r="J6" s="84"/>
    </row>
    <row r="7" spans="1:11" ht="15" customHeight="1">
      <c r="A7" s="84"/>
      <c r="B7" s="84"/>
      <c r="C7" s="84"/>
      <c r="D7" s="84"/>
      <c r="E7" s="84"/>
      <c r="F7" s="84"/>
      <c r="G7" s="84"/>
      <c r="H7" s="84"/>
      <c r="I7" s="84"/>
      <c r="J7" s="84"/>
    </row>
    <row r="8" spans="1:11" ht="15" customHeight="1">
      <c r="A8" s="84"/>
      <c r="B8" s="84"/>
      <c r="C8" s="84"/>
      <c r="D8" s="84"/>
      <c r="E8" s="84"/>
      <c r="F8" s="84"/>
      <c r="G8" s="84"/>
      <c r="H8" s="84"/>
      <c r="I8" s="84"/>
      <c r="J8" s="84"/>
    </row>
    <row r="9" spans="1:11" ht="15" customHeight="1">
      <c r="A9" s="84"/>
      <c r="B9" s="84"/>
      <c r="C9" s="84"/>
      <c r="D9" s="84"/>
      <c r="E9" s="84"/>
      <c r="F9" s="84"/>
      <c r="G9" s="84"/>
      <c r="H9" s="84"/>
      <c r="I9" s="84"/>
      <c r="J9" s="84"/>
    </row>
    <row r="10" spans="1:11" ht="13">
      <c r="A10" s="84"/>
      <c r="B10" s="84"/>
      <c r="C10" s="84"/>
      <c r="D10" s="84"/>
      <c r="E10" s="84"/>
      <c r="F10" s="84"/>
      <c r="G10" s="84"/>
      <c r="H10" s="84"/>
      <c r="I10" s="84"/>
      <c r="J10" s="84"/>
    </row>
    <row r="11" spans="1:11" ht="1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11" ht="15" customHeight="1">
      <c r="A12" s="84"/>
      <c r="B12" s="84"/>
      <c r="C12" s="84"/>
      <c r="D12" s="273"/>
      <c r="E12" s="274"/>
      <c r="F12" s="274"/>
      <c r="G12" s="274"/>
      <c r="H12" s="274"/>
      <c r="I12" s="84"/>
      <c r="J12" s="84"/>
    </row>
    <row r="13" spans="1:11" ht="15" customHeight="1">
      <c r="A13" s="84"/>
      <c r="B13" s="84"/>
      <c r="C13" s="84"/>
      <c r="D13" s="277"/>
      <c r="E13" s="278"/>
      <c r="F13" s="278"/>
      <c r="G13" s="278"/>
      <c r="H13" s="278"/>
      <c r="I13" s="84"/>
      <c r="J13" s="84"/>
    </row>
    <row r="14" spans="1:11" ht="5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</row>
    <row r="15" spans="1:11" s="83" customFormat="1" ht="15" customHeight="1">
      <c r="A15" s="49"/>
      <c r="B15" s="88"/>
      <c r="C15" s="88"/>
      <c r="D15" s="279"/>
      <c r="E15" s="279"/>
      <c r="F15" s="279"/>
      <c r="G15" s="279"/>
      <c r="H15" s="279"/>
      <c r="I15" s="88"/>
      <c r="J15" s="88"/>
      <c r="K15" s="82"/>
    </row>
    <row r="16" spans="1:11" s="83" customFormat="1" ht="15" customHeight="1">
      <c r="A16" s="49"/>
      <c r="B16" s="49"/>
      <c r="C16" s="70"/>
      <c r="D16" s="70"/>
      <c r="E16" s="70"/>
      <c r="F16" s="70"/>
      <c r="G16" s="70"/>
      <c r="H16" s="70"/>
      <c r="I16" s="70"/>
      <c r="J16" s="70"/>
      <c r="K16" s="82"/>
    </row>
    <row r="17" spans="1:11" s="83" customFormat="1" ht="15" customHeight="1">
      <c r="A17" s="49"/>
      <c r="B17" s="49"/>
      <c r="C17" s="70"/>
      <c r="D17" s="70"/>
      <c r="E17" s="70"/>
      <c r="F17" s="70"/>
      <c r="G17" s="70"/>
      <c r="H17" s="70"/>
      <c r="I17" s="70"/>
      <c r="J17" s="70"/>
      <c r="K17" s="82"/>
    </row>
    <row r="18" spans="1:11" s="83" customFormat="1" ht="15" customHeight="1">
      <c r="A18" s="49"/>
      <c r="B18" s="49"/>
      <c r="C18" s="70"/>
      <c r="D18" s="70"/>
      <c r="E18" s="70"/>
      <c r="F18" s="70"/>
      <c r="G18" s="70"/>
      <c r="H18" s="70"/>
      <c r="I18" s="70"/>
      <c r="J18" s="70"/>
      <c r="K18" s="82"/>
    </row>
    <row r="19" spans="1:11" s="83" customFormat="1" ht="15" customHeight="1">
      <c r="A19" s="49" t="s">
        <v>36</v>
      </c>
      <c r="B19" s="49"/>
      <c r="C19" s="70"/>
      <c r="D19" s="70"/>
      <c r="E19" s="70"/>
      <c r="F19" s="70"/>
      <c r="G19" s="70"/>
      <c r="H19" s="70"/>
      <c r="I19" s="70"/>
      <c r="J19" s="70"/>
      <c r="K19" s="82"/>
    </row>
    <row r="20" spans="1:11" ht="15" customHeight="1">
      <c r="A20" s="269" t="s">
        <v>566</v>
      </c>
      <c r="B20" s="84"/>
      <c r="C20" s="84"/>
      <c r="D20" s="84"/>
      <c r="E20" s="84"/>
      <c r="F20" s="84"/>
      <c r="G20" s="84"/>
      <c r="H20" s="84"/>
      <c r="I20" s="84"/>
      <c r="J20" s="84"/>
    </row>
    <row r="21" spans="1:11" ht="15" customHeight="1">
      <c r="A21" s="85" t="s">
        <v>119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1" ht="15" customHeight="1">
      <c r="A22" s="269" t="s">
        <v>568</v>
      </c>
      <c r="B22" s="84"/>
      <c r="C22" s="84"/>
      <c r="D22" s="84"/>
      <c r="E22" s="84"/>
      <c r="F22" s="84"/>
      <c r="G22" s="84"/>
      <c r="H22" s="84"/>
      <c r="I22" s="84"/>
      <c r="J22" s="84"/>
    </row>
    <row r="23" spans="1:11" ht="15" customHeight="1">
      <c r="A23" s="85" t="s">
        <v>120</v>
      </c>
      <c r="B23" s="84"/>
      <c r="C23" s="84"/>
      <c r="D23" s="84"/>
      <c r="E23" s="84"/>
      <c r="F23" s="84"/>
      <c r="G23" s="84"/>
      <c r="H23" s="84"/>
      <c r="I23" s="84"/>
      <c r="J23" s="84"/>
    </row>
    <row r="24" spans="1:11" ht="15" customHeight="1">
      <c r="A24" s="269" t="s">
        <v>569</v>
      </c>
      <c r="B24" s="84"/>
      <c r="C24" s="84"/>
      <c r="D24" s="84"/>
      <c r="E24" s="84"/>
      <c r="F24" s="84"/>
      <c r="G24" s="84"/>
      <c r="H24" s="84"/>
      <c r="I24" s="84"/>
      <c r="J24" s="84"/>
    </row>
    <row r="26" spans="1:11" ht="15" customHeight="1">
      <c r="A26" s="267" t="s">
        <v>226</v>
      </c>
      <c r="C26" s="275" t="s">
        <v>79</v>
      </c>
      <c r="D26" s="276"/>
      <c r="E26" s="276"/>
      <c r="F26" s="276"/>
      <c r="G26" s="276"/>
      <c r="H26" s="276"/>
      <c r="I26" s="276"/>
    </row>
    <row r="27" spans="1:11" ht="15" customHeight="1">
      <c r="C27" s="275" t="s">
        <v>578</v>
      </c>
      <c r="D27" s="276"/>
      <c r="E27" s="276"/>
      <c r="F27" s="276"/>
      <c r="G27" s="276"/>
      <c r="H27" s="276"/>
      <c r="I27" s="276"/>
    </row>
    <row r="28" spans="1:11" ht="15" customHeight="1">
      <c r="C28" s="275" t="s">
        <v>567</v>
      </c>
      <c r="D28" s="276"/>
      <c r="E28" s="276"/>
      <c r="F28" s="276"/>
      <c r="G28" s="276"/>
      <c r="H28" s="276"/>
      <c r="I28" s="276"/>
    </row>
  </sheetData>
  <mergeCells count="6">
    <mergeCell ref="D12:H12"/>
    <mergeCell ref="C26:I26"/>
    <mergeCell ref="C28:I28"/>
    <mergeCell ref="C27:I27"/>
    <mergeCell ref="D13:H13"/>
    <mergeCell ref="D15:H15"/>
  </mergeCells>
  <phoneticPr fontId="0" type="noConversion"/>
  <hyperlinks>
    <hyperlink ref="C28" r:id="rId1" display="Supplements to the textbook cases" xr:uid="{AA1D4FD8-2D43-C941-85F8-2906E5A81E72}"/>
    <hyperlink ref="D28" r:id="rId2" display="http://www.lundholmandsloan.com/case_materials.html" xr:uid="{DC22373C-D217-224D-8832-B02CFC0875CF}"/>
    <hyperlink ref="E28" r:id="rId3" display="http://www.lundholmandsloan.com/case_materials.html" xr:uid="{A69E5178-FDC9-8840-B7BF-3D03B65C8FC4}"/>
    <hyperlink ref="F28" r:id="rId4" display="http://www.lundholmandsloan.com/case_materials.html" xr:uid="{0054228C-6869-4D42-B498-BC06BD712223}"/>
    <hyperlink ref="G28" r:id="rId5" display="http://www.lundholmandsloan.com/case_materials.html" xr:uid="{3AD51C31-3304-9542-A5F7-671A07D707D0}"/>
    <hyperlink ref="H28" r:id="rId6" display="http://www.lundholmandsloan.com/case_materials.html" xr:uid="{B746BB70-D446-884B-AAA3-A7D7154C5939}"/>
    <hyperlink ref="I28" r:id="rId7" display="http://www.lundholmandsloan.com/case_materials.html" xr:uid="{031096D6-CA6A-194D-B6C9-FE52B83A0D87}"/>
    <hyperlink ref="C28:I28" r:id="rId8" display="Cases to accompany the textbook" xr:uid="{2AD57247-988C-154C-97A7-2C22E6ED7CD6}"/>
    <hyperlink ref="C26" r:id="rId9" xr:uid="{6D45153C-C131-3D4E-B006-090347C2B767}"/>
    <hyperlink ref="D26" r:id="rId10" display="http://www.lundholmandsloan.com/book.html" xr:uid="{07853ED0-AB63-6B41-A10F-73E1DE368931}"/>
    <hyperlink ref="E26" r:id="rId11" display="http://www.lundholmandsloan.com/book.html" xr:uid="{B3E6BE52-C248-A944-867C-9814738E367C}"/>
    <hyperlink ref="F26" r:id="rId12" display="http://www.lundholmandsloan.com/book.html" xr:uid="{062AD039-C9F1-FB41-AF98-83D66D13C4D1}"/>
    <hyperlink ref="G26" r:id="rId13" display="http://www.lundholmandsloan.com/book.html" xr:uid="{75392EC5-2779-A848-A3C5-AE4B69F674CF}"/>
    <hyperlink ref="H26" r:id="rId14" display="http://www.lundholmandsloan.com/book.html" xr:uid="{2CC317B4-5DDC-2D4C-83A7-84203ADA7E59}"/>
    <hyperlink ref="I26" r:id="rId15" display="http://www.lundholmandsloan.com/book.html" xr:uid="{10BFE91A-3C4A-B240-9CAB-47BDCA0A3C01}"/>
    <hyperlink ref="C27" r:id="rId16" xr:uid="{263552BC-BC4B-F449-8F1F-C561E5CF9AA0}"/>
    <hyperlink ref="D27" r:id="rId17" display="http://www.lundholmandsloan.com/software.html" xr:uid="{19BBE32F-8E9B-7043-ACCC-B074324CCFDC}"/>
    <hyperlink ref="E27" r:id="rId18" display="http://www.lundholmandsloan.com/software.html" xr:uid="{F01DF2A0-436F-564B-B31E-D86DE968653B}"/>
    <hyperlink ref="F27" r:id="rId19" display="http://www.lundholmandsloan.com/software.html" xr:uid="{1F6078F3-3BE1-6E41-BCBA-AA700F588464}"/>
    <hyperlink ref="G27" r:id="rId20" display="http://www.lundholmandsloan.com/software.html" xr:uid="{C0D34FEB-D567-4B4C-A4A2-56E32D8C0951}"/>
    <hyperlink ref="H27" r:id="rId21" display="http://www.lundholmandsloan.com/software.html" xr:uid="{913DB100-E30A-E040-B37A-85094944900E}"/>
    <hyperlink ref="I27" r:id="rId22" display="http://www.lundholmandsloan.com/software.html" xr:uid="{3C2D5D76-6C0E-C94A-B59F-98FEE4034E13}"/>
    <hyperlink ref="C26:I26" r:id="rId23" display="Where to buy the latest 'Equity Valuation and Analysis' textbook" xr:uid="{E0C28264-F6EF-B548-A769-5C221B903B52}"/>
    <hyperlink ref="C27:I27" r:id="rId24" display="Check here for updated versions of eVal" xr:uid="{A014A0D2-E8A2-0D49-8DC8-BEC1C1504F00}"/>
  </hyperlinks>
  <pageMargins left="0.75" right="0.75" top="1" bottom="1" header="0.5" footer="0.5"/>
  <pageSetup orientation="portrait" horizontalDpi="4294967292" verticalDpi="4294967292"/>
  <drawing r:id="rId2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W116"/>
  <sheetViews>
    <sheetView zoomScale="125" workbookViewId="0">
      <pane xSplit="1" ySplit="8" topLeftCell="B10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83203125" defaultRowHeight="13"/>
  <cols>
    <col min="1" max="1" width="29.6640625" style="7" customWidth="1"/>
    <col min="2" max="18" width="15.6640625" style="7" customWidth="1"/>
    <col min="19" max="16384" width="8.83203125" style="7"/>
  </cols>
  <sheetData>
    <row r="1" spans="1:23" ht="18">
      <c r="A1" s="228" t="s">
        <v>528</v>
      </c>
      <c r="B1" s="161" t="s">
        <v>478</v>
      </c>
      <c r="C1" s="282" t="s">
        <v>128</v>
      </c>
      <c r="D1" s="283"/>
      <c r="E1" s="283"/>
      <c r="F1" s="283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24"/>
    </row>
    <row r="2" spans="1:23" ht="18" customHeight="1">
      <c r="A2" s="163"/>
      <c r="B2" s="158"/>
      <c r="C2" s="283"/>
      <c r="D2" s="283"/>
      <c r="E2" s="283"/>
      <c r="F2" s="283"/>
      <c r="G2" s="158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24"/>
    </row>
    <row r="3" spans="1:23">
      <c r="A3" s="164"/>
      <c r="B3" s="164"/>
      <c r="C3" s="227" t="s">
        <v>527</v>
      </c>
      <c r="D3" s="169"/>
      <c r="E3" s="169"/>
      <c r="F3" s="169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24"/>
    </row>
    <row r="4" spans="1:23">
      <c r="A4" s="229" t="s">
        <v>491</v>
      </c>
      <c r="B4" s="280" t="str">
        <f>B82</f>
        <v>KOHL'S CORP</v>
      </c>
      <c r="C4" s="281"/>
      <c r="D4" s="253" t="str">
        <f>D82</f>
        <v>KSS</v>
      </c>
      <c r="E4" s="252" t="str">
        <f>IF(D4="", "",HYPERLINK(CONCATENATE("http://www.sec.gov/cgi-bin/browse-edgar?type=10-K&amp;action=getcompany&amp;CIK=",D4),"Link to Form 10-Ks"))</f>
        <v>Link to Form 10-Ks</v>
      </c>
      <c r="G4" s="124"/>
      <c r="H4" s="124"/>
      <c r="I4" s="132"/>
      <c r="J4" s="124"/>
      <c r="K4" s="124"/>
      <c r="L4" s="124"/>
      <c r="M4" s="124"/>
      <c r="N4" s="124"/>
      <c r="O4" s="124"/>
      <c r="P4" s="124"/>
      <c r="Q4" s="124"/>
      <c r="R4" s="124"/>
      <c r="S4" s="124"/>
    </row>
    <row r="5" spans="1:23">
      <c r="A5" s="229" t="s">
        <v>492</v>
      </c>
      <c r="B5" s="112">
        <f>B83</f>
        <v>307000</v>
      </c>
      <c r="C5" s="6" t="s">
        <v>346</v>
      </c>
      <c r="D5" s="6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</row>
    <row r="6" spans="1:23">
      <c r="A6" s="147" t="str">
        <f ca="1">"Estimated Price/Share="&amp;DOLLAR('Valuation Parameters'!B24)</f>
        <v>Estimated Price/Share=$78.20</v>
      </c>
      <c r="B6" s="6"/>
      <c r="C6" s="6"/>
      <c r="D6" s="6"/>
      <c r="E6" s="21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 spans="1:23">
      <c r="A7" s="6"/>
      <c r="B7" s="12" t="s">
        <v>535</v>
      </c>
      <c r="C7" s="12" t="s">
        <v>535</v>
      </c>
      <c r="D7" s="12" t="s">
        <v>535</v>
      </c>
      <c r="E7" s="12" t="s">
        <v>535</v>
      </c>
      <c r="F7" s="12" t="s">
        <v>535</v>
      </c>
      <c r="G7" s="121" t="s">
        <v>536</v>
      </c>
      <c r="H7" s="121" t="s">
        <v>536</v>
      </c>
      <c r="I7" s="121" t="s">
        <v>536</v>
      </c>
      <c r="J7" s="121" t="s">
        <v>536</v>
      </c>
      <c r="K7" s="121" t="s">
        <v>536</v>
      </c>
      <c r="L7" s="121" t="s">
        <v>536</v>
      </c>
      <c r="M7" s="121" t="s">
        <v>536</v>
      </c>
      <c r="N7" s="121" t="s">
        <v>536</v>
      </c>
      <c r="O7" s="121" t="s">
        <v>536</v>
      </c>
      <c r="P7" s="121" t="s">
        <v>536</v>
      </c>
      <c r="Q7" s="121" t="s">
        <v>536</v>
      </c>
      <c r="R7" s="121" t="s">
        <v>536</v>
      </c>
      <c r="S7" s="121"/>
      <c r="T7" s="8"/>
      <c r="U7" s="8"/>
      <c r="V7" s="8"/>
      <c r="W7" s="8"/>
    </row>
    <row r="8" spans="1:23" ht="14" thickBot="1">
      <c r="A8" s="230" t="s">
        <v>74</v>
      </c>
      <c r="B8" s="271">
        <f>B84</f>
        <v>37286</v>
      </c>
      <c r="C8" s="271">
        <f t="shared" ref="C8:F8" si="0">C84</f>
        <v>37651</v>
      </c>
      <c r="D8" s="271">
        <f t="shared" si="0"/>
        <v>38016</v>
      </c>
      <c r="E8" s="271">
        <f t="shared" si="0"/>
        <v>38382</v>
      </c>
      <c r="F8" s="271">
        <f t="shared" si="0"/>
        <v>38747</v>
      </c>
      <c r="G8" s="257">
        <f>DATE(YEAR(F8)+1,MONTH(F8),DAY(F8))</f>
        <v>39112</v>
      </c>
      <c r="H8" s="257">
        <f t="shared" ref="H8:R8" si="1">DATE(YEAR(G8)+1,MONTH(G8),DAY(G8))</f>
        <v>39477</v>
      </c>
      <c r="I8" s="257">
        <f t="shared" si="1"/>
        <v>39843</v>
      </c>
      <c r="J8" s="257">
        <f t="shared" si="1"/>
        <v>40208</v>
      </c>
      <c r="K8" s="257">
        <f t="shared" si="1"/>
        <v>40573</v>
      </c>
      <c r="L8" s="257">
        <f t="shared" si="1"/>
        <v>40938</v>
      </c>
      <c r="M8" s="257">
        <f t="shared" si="1"/>
        <v>41304</v>
      </c>
      <c r="N8" s="257">
        <f t="shared" si="1"/>
        <v>41669</v>
      </c>
      <c r="O8" s="257">
        <f t="shared" si="1"/>
        <v>42034</v>
      </c>
      <c r="P8" s="257">
        <f t="shared" si="1"/>
        <v>42399</v>
      </c>
      <c r="Q8" s="257">
        <f t="shared" si="1"/>
        <v>42765</v>
      </c>
      <c r="R8" s="257">
        <f t="shared" si="1"/>
        <v>43130</v>
      </c>
      <c r="S8" s="121"/>
      <c r="T8" s="8"/>
      <c r="U8" s="8"/>
      <c r="V8" s="8"/>
      <c r="W8" s="8"/>
    </row>
    <row r="9" spans="1:23" s="124" customFormat="1">
      <c r="B9" s="7"/>
      <c r="C9" s="7"/>
      <c r="D9" s="7"/>
      <c r="E9" s="13"/>
      <c r="F9" s="13"/>
    </row>
    <row r="10" spans="1:23" s="124" customFormat="1">
      <c r="A10" s="125" t="s">
        <v>97</v>
      </c>
      <c r="B10" s="6"/>
      <c r="C10" s="6"/>
      <c r="D10" s="6"/>
      <c r="E10" s="13"/>
      <c r="F10" s="13"/>
    </row>
    <row r="11" spans="1:23" s="124" customFormat="1">
      <c r="A11" s="125"/>
      <c r="B11" s="6"/>
      <c r="C11" s="6"/>
      <c r="D11" s="6"/>
      <c r="E11" s="13"/>
      <c r="F11" s="13"/>
    </row>
    <row r="12" spans="1:23">
      <c r="A12" s="231" t="s">
        <v>493</v>
      </c>
      <c r="B12" s="111">
        <f t="shared" ref="B12:F13" si="2">B85</f>
        <v>13402217</v>
      </c>
      <c r="C12" s="111">
        <f t="shared" si="2"/>
        <v>15544184</v>
      </c>
      <c r="D12" s="111">
        <f t="shared" si="2"/>
        <v>16473734</v>
      </c>
      <c r="E12" s="111">
        <f t="shared" si="2"/>
        <v>16389000</v>
      </c>
      <c r="F12" s="111">
        <f t="shared" si="2"/>
        <v>17178000</v>
      </c>
      <c r="G12" s="129">
        <f>F12*(1+'Forecasting Assumptions'!G14)</f>
        <v>17976652.795167491</v>
      </c>
      <c r="H12" s="122">
        <f>G12*(1+'Forecasting Assumptions'!H14)</f>
        <v>18782788.691517506</v>
      </c>
      <c r="I12" s="122">
        <f>H12*(1+'Forecasting Assumptions'!I14)</f>
        <v>19594096.516437404</v>
      </c>
      <c r="J12" s="122">
        <f>I12*(1+'Forecasting Assumptions'!J14)</f>
        <v>20408132.054671094</v>
      </c>
      <c r="K12" s="122">
        <f>J12*(1+'Forecasting Assumptions'!K14)</f>
        <v>21222327.987549655</v>
      </c>
      <c r="L12" s="122">
        <f>K12*(1+'Forecasting Assumptions'!L14)</f>
        <v>22034005.309482407</v>
      </c>
      <c r="M12" s="5">
        <f>L12*(1+'Forecasting Assumptions'!M14)</f>
        <v>22840386.177416656</v>
      </c>
      <c r="N12" s="5">
        <f>M12*(1+'Forecasting Assumptions'!N14)</f>
        <v>23638608.130371511</v>
      </c>
      <c r="O12" s="5">
        <f>N12*(1+'Forecasting Assumptions'!O14)</f>
        <v>24425739.597513355</v>
      </c>
      <c r="P12" s="5">
        <f>O12*(1+'Forecasting Assumptions'!P14)</f>
        <v>25198796.594842672</v>
      </c>
      <c r="Q12" s="5">
        <f>P12*(1+'Forecasting Assumptions'!Q14)</f>
        <v>25954760.492687952</v>
      </c>
      <c r="R12" s="5">
        <f>Q12*(1+'Forecasting Assumptions'!R14)</f>
        <v>26733403.307468589</v>
      </c>
      <c r="S12" s="124"/>
    </row>
    <row r="13" spans="1:23">
      <c r="A13" s="231" t="s">
        <v>43</v>
      </c>
      <c r="B13" s="111">
        <f t="shared" si="2"/>
        <v>-8670484</v>
      </c>
      <c r="C13" s="111">
        <f t="shared" si="2"/>
        <v>-9890513</v>
      </c>
      <c r="D13" s="111">
        <f t="shared" si="2"/>
        <v>-10459549</v>
      </c>
      <c r="E13" s="111">
        <f t="shared" si="2"/>
        <v>-10334000</v>
      </c>
      <c r="F13" s="111">
        <f t="shared" si="2"/>
        <v>-10680000</v>
      </c>
      <c r="G13" s="129">
        <f>-G12*'Forecasting Assumptions'!G15</f>
        <v>-11176542.778693026</v>
      </c>
      <c r="H13" s="122">
        <f>-H12*'Forecasting Assumptions'!H15</f>
        <v>-11677737.991931945</v>
      </c>
      <c r="I13" s="122">
        <f>-I12*'Forecasting Assumptions'!I15</f>
        <v>-12182148.724854551</v>
      </c>
      <c r="J13" s="122">
        <f>-J12*'Forecasting Assumptions'!J15</f>
        <v>-12688255.346599562</v>
      </c>
      <c r="K13" s="122">
        <f>-K12*'Forecasting Assumptions'!K15</f>
        <v>-13194461.689779388</v>
      </c>
      <c r="L13" s="122">
        <f>-L12*'Forecasting Assumptions'!L15</f>
        <v>-13699102.148403313</v>
      </c>
      <c r="M13" s="5">
        <f>-M12*'Forecasting Assumptions'!M15</f>
        <v>-14200449.666713813</v>
      </c>
      <c r="N13" s="5">
        <f>-N12*'Forecasting Assumptions'!N15</f>
        <v>-14696724.579832794</v>
      </c>
      <c r="O13" s="5">
        <f>-O12*'Forecasting Assumptions'!O15</f>
        <v>-15186104.25552699</v>
      </c>
      <c r="P13" s="5">
        <f>-P12*'Forecasting Assumptions'!P15</f>
        <v>-15666733.474963309</v>
      </c>
      <c r="Q13" s="5">
        <f>-Q12*'Forecasting Assumptions'!Q15</f>
        <v>-16136735.479212208</v>
      </c>
      <c r="R13" s="5">
        <f>-R12*'Forecasting Assumptions'!R15</f>
        <v>-16620837.543588573</v>
      </c>
      <c r="S13" s="124"/>
    </row>
    <row r="14" spans="1:23">
      <c r="A14" s="231" t="s">
        <v>44</v>
      </c>
      <c r="B14" s="43">
        <f>B12+B13</f>
        <v>4731733</v>
      </c>
      <c r="C14" s="43">
        <f>C12+C13</f>
        <v>5653671</v>
      </c>
      <c r="D14" s="43">
        <f>D12+D13</f>
        <v>6014185</v>
      </c>
      <c r="E14" s="43">
        <f>E12+E13</f>
        <v>6055000</v>
      </c>
      <c r="F14" s="43">
        <f>F12+F13</f>
        <v>6498000</v>
      </c>
      <c r="G14" s="5">
        <f t="shared" ref="G14:L14" si="3">G12+G13</f>
        <v>6800110.0164744649</v>
      </c>
      <c r="H14" s="5">
        <f t="shared" si="3"/>
        <v>7105050.6995855607</v>
      </c>
      <c r="I14" s="5">
        <f t="shared" si="3"/>
        <v>7411947.7915828526</v>
      </c>
      <c r="J14" s="5">
        <f t="shared" si="3"/>
        <v>7719876.7080715317</v>
      </c>
      <c r="K14" s="5">
        <f t="shared" si="3"/>
        <v>8027866.2977702674</v>
      </c>
      <c r="L14" s="5">
        <f t="shared" si="3"/>
        <v>8334903.1610790938</v>
      </c>
      <c r="M14" s="5">
        <f t="shared" ref="M14:R14" si="4">M12+M13</f>
        <v>8639936.5107028428</v>
      </c>
      <c r="N14" s="5">
        <f t="shared" si="4"/>
        <v>8941883.5505387168</v>
      </c>
      <c r="O14" s="5">
        <f t="shared" si="4"/>
        <v>9239635.3419863656</v>
      </c>
      <c r="P14" s="5">
        <f t="shared" si="4"/>
        <v>9532063.1198793631</v>
      </c>
      <c r="Q14" s="5">
        <f t="shared" si="4"/>
        <v>9818025.0134757441</v>
      </c>
      <c r="R14" s="5">
        <f t="shared" si="4"/>
        <v>10112565.763880016</v>
      </c>
      <c r="S14" s="124"/>
    </row>
    <row r="15" spans="1:23">
      <c r="A15" s="231" t="s">
        <v>45</v>
      </c>
      <c r="B15" s="111">
        <f t="shared" ref="B15:F16" si="5">B87</f>
        <v>0</v>
      </c>
      <c r="C15" s="111">
        <f t="shared" si="5"/>
        <v>0</v>
      </c>
      <c r="D15" s="111">
        <f t="shared" si="5"/>
        <v>0</v>
      </c>
      <c r="E15" s="111">
        <f t="shared" si="5"/>
        <v>0</v>
      </c>
      <c r="F15" s="111">
        <f t="shared" si="5"/>
        <v>0</v>
      </c>
      <c r="G15" s="128">
        <f>-G12*'Forecasting Assumptions'!G16</f>
        <v>0</v>
      </c>
      <c r="H15" s="123">
        <f>-H12*'Forecasting Assumptions'!H16</f>
        <v>0</v>
      </c>
      <c r="I15" s="123">
        <f>-I12*'Forecasting Assumptions'!I16</f>
        <v>0</v>
      </c>
      <c r="J15" s="123">
        <f>-J12*'Forecasting Assumptions'!J16</f>
        <v>0</v>
      </c>
      <c r="K15" s="123">
        <f>-K12*'Forecasting Assumptions'!K16</f>
        <v>0</v>
      </c>
      <c r="L15" s="123">
        <f>-L12*'Forecasting Assumptions'!L16</f>
        <v>0</v>
      </c>
      <c r="M15" s="28">
        <f>-M12*'Forecasting Assumptions'!M16</f>
        <v>0</v>
      </c>
      <c r="N15" s="28">
        <f>-N12*'Forecasting Assumptions'!N16</f>
        <v>0</v>
      </c>
      <c r="O15" s="28">
        <f>-O12*'Forecasting Assumptions'!O16</f>
        <v>0</v>
      </c>
      <c r="P15" s="28">
        <f>-P12*'Forecasting Assumptions'!P16</f>
        <v>0</v>
      </c>
      <c r="Q15" s="28">
        <f>-Q12*'Forecasting Assumptions'!Q16</f>
        <v>0</v>
      </c>
      <c r="R15" s="28">
        <f>-R12*'Forecasting Assumptions'!R16</f>
        <v>0</v>
      </c>
      <c r="S15" s="124"/>
    </row>
    <row r="16" spans="1:23">
      <c r="A16" s="231" t="s">
        <v>46</v>
      </c>
      <c r="B16" s="111">
        <f t="shared" si="5"/>
        <v>-3007842</v>
      </c>
      <c r="C16" s="111">
        <f t="shared" si="5"/>
        <v>-3451196</v>
      </c>
      <c r="D16" s="111">
        <f t="shared" si="5"/>
        <v>-3757563</v>
      </c>
      <c r="E16" s="111">
        <f t="shared" si="5"/>
        <v>-3978000</v>
      </c>
      <c r="F16" s="111">
        <f t="shared" si="5"/>
        <v>-4196000</v>
      </c>
      <c r="G16" s="128">
        <f>-G12*'Forecasting Assumptions'!G17</f>
        <v>-4391083.6609921288</v>
      </c>
      <c r="H16" s="123">
        <f>-H12*'Forecasting Assumptions'!H17</f>
        <v>-4587995.1885904912</v>
      </c>
      <c r="I16" s="123">
        <f>-I12*'Forecasting Assumptions'!I17</f>
        <v>-4786170.0420870502</v>
      </c>
      <c r="J16" s="123">
        <f>-J12*'Forecasting Assumptions'!J17</f>
        <v>-4985011.1829898655</v>
      </c>
      <c r="K16" s="123">
        <f>-K12*'Forecasting Assumptions'!K17</f>
        <v>-5183891.5028384179</v>
      </c>
      <c r="L16" s="123">
        <f>-L12*'Forecasting Assumptions'!L17</f>
        <v>-5382156.6118633235</v>
      </c>
      <c r="M16" s="28">
        <f>-M12*'Forecasting Assumptions'!M17</f>
        <v>-5579127.9776714565</v>
      </c>
      <c r="N16" s="28">
        <f>-N12*'Forecasting Assumptions'!N17</f>
        <v>-5774106.3985934835</v>
      </c>
      <c r="O16" s="28">
        <f>-O12*'Forecasting Assumptions'!O17</f>
        <v>-5966375.7917782068</v>
      </c>
      <c r="P16" s="28">
        <f>-P12*'Forecasting Assumptions'!P17</f>
        <v>-6155207.2716241619</v>
      </c>
      <c r="Q16" s="28">
        <f>-Q12*'Forecasting Assumptions'!Q17</f>
        <v>-6339863.489772886</v>
      </c>
      <c r="R16" s="28">
        <f>-R12*'Forecasting Assumptions'!R17</f>
        <v>-6530059.3944660723</v>
      </c>
      <c r="S16" s="124"/>
    </row>
    <row r="17" spans="1:19">
      <c r="A17" s="231" t="s">
        <v>47</v>
      </c>
      <c r="B17" s="43">
        <f>B14+B15+B16</f>
        <v>1723891</v>
      </c>
      <c r="C17" s="43">
        <f>C14+C15+C16</f>
        <v>2202475</v>
      </c>
      <c r="D17" s="43">
        <f>D14+D15+D16</f>
        <v>2256622</v>
      </c>
      <c r="E17" s="43">
        <f>E14+E15+E16</f>
        <v>2077000</v>
      </c>
      <c r="F17" s="43">
        <f>F14+F15+F16</f>
        <v>2302000</v>
      </c>
      <c r="G17" s="28">
        <f t="shared" ref="G17:L17" si="6">G14+G15+G16</f>
        <v>2409026.3554823361</v>
      </c>
      <c r="H17" s="28">
        <f t="shared" si="6"/>
        <v>2517055.5109950695</v>
      </c>
      <c r="I17" s="28">
        <f t="shared" si="6"/>
        <v>2625777.7494958024</v>
      </c>
      <c r="J17" s="28">
        <f t="shared" si="6"/>
        <v>2734865.5250816662</v>
      </c>
      <c r="K17" s="28">
        <f t="shared" si="6"/>
        <v>2843974.7949318495</v>
      </c>
      <c r="L17" s="28">
        <f t="shared" si="6"/>
        <v>2952746.5492157703</v>
      </c>
      <c r="M17" s="28">
        <f t="shared" ref="M17:R17" si="7">M14+M15+M16</f>
        <v>3060808.5330313863</v>
      </c>
      <c r="N17" s="28">
        <f t="shared" si="7"/>
        <v>3167777.1519452333</v>
      </c>
      <c r="O17" s="28">
        <f t="shared" si="7"/>
        <v>3273259.5502081588</v>
      </c>
      <c r="P17" s="28">
        <f t="shared" si="7"/>
        <v>3376855.8482552012</v>
      </c>
      <c r="Q17" s="28">
        <f t="shared" si="7"/>
        <v>3478161.523702858</v>
      </c>
      <c r="R17" s="28">
        <f t="shared" si="7"/>
        <v>3582506.369413944</v>
      </c>
      <c r="S17" s="124"/>
    </row>
    <row r="18" spans="1:19">
      <c r="A18" s="231" t="s">
        <v>98</v>
      </c>
      <c r="B18" s="111">
        <f>B89</f>
        <v>-307710</v>
      </c>
      <c r="C18" s="111">
        <f>C89</f>
        <v>-387674</v>
      </c>
      <c r="D18" s="111">
        <f>D89</f>
        <v>-452145</v>
      </c>
      <c r="E18" s="111">
        <f>E89</f>
        <v>-541000</v>
      </c>
      <c r="F18" s="111">
        <f>F89</f>
        <v>-590000</v>
      </c>
      <c r="G18" s="128">
        <f>-((F38+G38+F40+G40)/2)*'Forecasting Assumptions'!G18</f>
        <v>-604887.95513019373</v>
      </c>
      <c r="H18" s="123">
        <f>-((G38+H38+G40+H40)/2)*'Forecasting Assumptions'!H18</f>
        <v>-632500.72535677161</v>
      </c>
      <c r="I18" s="123">
        <f>-((H38+I38+H40+I40)/2)*'Forecasting Assumptions'!I18</f>
        <v>-660331.24414464657</v>
      </c>
      <c r="J18" s="123">
        <f>-((I38+J38+I40+J40)/2)*'Forecasting Assumptions'!J18</f>
        <v>-688297.6879906673</v>
      </c>
      <c r="K18" s="123">
        <f>-((J38+K38+J40+K40)/2)*'Forecasting Assumptions'!K18</f>
        <v>-716313.82601877768</v>
      </c>
      <c r="L18" s="123">
        <f>-((K38+L38+K40+L40)/2)*'Forecasting Assumptions'!L18</f>
        <v>-744289.38743689191</v>
      </c>
      <c r="M18" s="28">
        <f>-((L38+M38+L40+M40)/2)*'Forecasting Assumptions'!M18</f>
        <v>-772130.47906857659</v>
      </c>
      <c r="N18" s="28">
        <f>-((M38+N38+M40+N40)/2)*'Forecasting Assumptions'!N18</f>
        <v>-799740.05111524381</v>
      </c>
      <c r="O18" s="28">
        <f>-((N38+O38+N40+O40)/2)*'Forecasting Assumptions'!O18</f>
        <v>-827018.40866377216</v>
      </c>
      <c r="P18" s="28">
        <f>-((O38+P38+O40+P40)/2)*'Forecasting Assumptions'!P18</f>
        <v>-853863.76581721893</v>
      </c>
      <c r="Q18" s="28">
        <f>-((P38+Q38+P40+Q40)/2)*'Forecasting Assumptions'!Q18</f>
        <v>-880172.83870217821</v>
      </c>
      <c r="R18" s="28">
        <f>-((Q38+R38+Q40+R40)/2)*'Forecasting Assumptions'!R18</f>
        <v>-906578.02386324352</v>
      </c>
      <c r="S18" s="124"/>
    </row>
    <row r="19" spans="1:19">
      <c r="A19" s="231" t="s">
        <v>99</v>
      </c>
      <c r="B19" s="43">
        <f>B17+B18</f>
        <v>1416181</v>
      </c>
      <c r="C19" s="43">
        <f>C17+C18</f>
        <v>1814801</v>
      </c>
      <c r="D19" s="43">
        <f>D17+D18</f>
        <v>1804477</v>
      </c>
      <c r="E19" s="43">
        <f>E17+E18</f>
        <v>1536000</v>
      </c>
      <c r="F19" s="43">
        <f>F17+F18</f>
        <v>1712000</v>
      </c>
      <c r="G19" s="48">
        <f t="shared" ref="G19:L19" si="8">G17+G18</f>
        <v>1804138.4003521423</v>
      </c>
      <c r="H19" s="48">
        <f t="shared" si="8"/>
        <v>1884554.7856382979</v>
      </c>
      <c r="I19" s="48">
        <f t="shared" si="8"/>
        <v>1965446.505351156</v>
      </c>
      <c r="J19" s="48">
        <f t="shared" si="8"/>
        <v>2046567.8370909989</v>
      </c>
      <c r="K19" s="48">
        <f t="shared" si="8"/>
        <v>2127660.9689130718</v>
      </c>
      <c r="L19" s="48">
        <f t="shared" si="8"/>
        <v>2208457.1617788784</v>
      </c>
      <c r="M19" s="48">
        <f t="shared" ref="M19:R19" si="9">M17+M18</f>
        <v>2288678.05396281</v>
      </c>
      <c r="N19" s="48">
        <f t="shared" si="9"/>
        <v>2368037.1008299896</v>
      </c>
      <c r="O19" s="48">
        <f t="shared" si="9"/>
        <v>2446241.1415443867</v>
      </c>
      <c r="P19" s="48">
        <f t="shared" si="9"/>
        <v>2522992.0824379823</v>
      </c>
      <c r="Q19" s="48">
        <f t="shared" si="9"/>
        <v>2597988.6850006799</v>
      </c>
      <c r="R19" s="48">
        <f t="shared" si="9"/>
        <v>2675928.3455507006</v>
      </c>
      <c r="S19" s="124"/>
    </row>
    <row r="20" spans="1:19">
      <c r="A20" s="231" t="s">
        <v>342</v>
      </c>
      <c r="B20" s="111">
        <f t="shared" ref="B20:E21" si="10">B90</f>
        <v>-79383</v>
      </c>
      <c r="C20" s="111">
        <f t="shared" si="10"/>
        <v>-74427</v>
      </c>
      <c r="D20" s="111">
        <f t="shared" si="10"/>
        <v>-98712</v>
      </c>
      <c r="E20" s="111">
        <f t="shared" si="10"/>
        <v>-140000</v>
      </c>
      <c r="F20" s="111">
        <f>F90</f>
        <v>-134000</v>
      </c>
      <c r="G20" s="128">
        <f>-((F44+G44+F49+G49)/2)*'Forecasting Assumptions'!G19</f>
        <v>-137048.7444062155</v>
      </c>
      <c r="H20" s="123">
        <f>-((G44+H44+G49+H49)/2)*'Forecasting Assumptions'!H19</f>
        <v>-143304.93690770995</v>
      </c>
      <c r="I20" s="123">
        <f>-((H44+I44+H49+I49)/2)*'Forecasting Assumptions'!I19</f>
        <v>-149610.46444169909</v>
      </c>
      <c r="J20" s="123">
        <f>-((I44+J44+I49+J49)/2)*'Forecasting Assumptions'!J19</f>
        <v>-155946.788354413</v>
      </c>
      <c r="K20" s="123">
        <f>-((J44+K44+J49+K49)/2)*'Forecasting Assumptions'!K19</f>
        <v>-162294.37141884581</v>
      </c>
      <c r="L20" s="123">
        <f>-((K44+L44+K49+L49)/2)*'Forecasting Assumptions'!L19</f>
        <v>-168632.76108902248</v>
      </c>
      <c r="M20" s="28">
        <f>-((L44+M44+L49+M49)/2)*'Forecasting Assumptions'!M19</f>
        <v>-174940.68409965589</v>
      </c>
      <c r="N20" s="28">
        <f>-((M44+N44+M49+N49)/2)*'Forecasting Assumptions'!N19</f>
        <v>-181196.15199333258</v>
      </c>
      <c r="O20" s="28">
        <f>-((N44+O44+N49+O49)/2)*'Forecasting Assumptions'!O19</f>
        <v>-187376.57701218588</v>
      </c>
      <c r="P20" s="28">
        <f>-((O44+P44+O49+P49)/2)*'Forecasting Assumptions'!P19</f>
        <v>-193458.89764663199</v>
      </c>
      <c r="Q20" s="28">
        <f>-((P44+Q44+P49+Q49)/2)*'Forecasting Assumptions'!Q19</f>
        <v>-199419.71299234207</v>
      </c>
      <c r="R20" s="28">
        <f>-((Q44+R44+Q49+R49)/2)*'Forecasting Assumptions'!R19</f>
        <v>-205402.30438211231</v>
      </c>
      <c r="S20" s="124"/>
    </row>
    <row r="21" spans="1:19">
      <c r="A21" s="231" t="s">
        <v>100</v>
      </c>
      <c r="B21" s="111">
        <f t="shared" si="10"/>
        <v>8992</v>
      </c>
      <c r="C21" s="111">
        <f t="shared" si="10"/>
        <v>34071</v>
      </c>
      <c r="D21" s="111">
        <f t="shared" si="10"/>
        <v>36296</v>
      </c>
      <c r="E21" s="111">
        <f t="shared" si="10"/>
        <v>29000</v>
      </c>
      <c r="F21" s="111">
        <f>F91</f>
        <v>10000</v>
      </c>
      <c r="G21" s="128">
        <f>G12*'Forecasting Assumptions'!G20</f>
        <v>10464.927695405455</v>
      </c>
      <c r="H21" s="123">
        <f>H12*'Forecasting Assumptions'!H20</f>
        <v>10934.211602932533</v>
      </c>
      <c r="I21" s="123">
        <f>I12*'Forecasting Assumptions'!I20</f>
        <v>11406.506296680291</v>
      </c>
      <c r="J21" s="123">
        <f>J12*'Forecasting Assumptions'!J20</f>
        <v>11880.388901310451</v>
      </c>
      <c r="K21" s="123">
        <f>K12*'Forecasting Assumptions'!K20</f>
        <v>12354.364878070586</v>
      </c>
      <c r="L21" s="123">
        <f>L12*'Forecasting Assumptions'!L20</f>
        <v>12826.874670789617</v>
      </c>
      <c r="M21" s="28">
        <f>M12*'Forecasting Assumptions'!M20</f>
        <v>13296.301186061623</v>
      </c>
      <c r="N21" s="28">
        <f>N12*'Forecasting Assumptions'!N20</f>
        <v>13760.978071004489</v>
      </c>
      <c r="O21" s="28">
        <f>O12*'Forecasting Assumptions'!O20</f>
        <v>14219.19874113014</v>
      </c>
      <c r="P21" s="28">
        <f>P12*'Forecasting Assumptions'!P20</f>
        <v>14669.226100152911</v>
      </c>
      <c r="Q21" s="28">
        <f>Q12*'Forecasting Assumptions'!Q20</f>
        <v>15109.302883157497</v>
      </c>
      <c r="R21" s="28">
        <f>R12*'Forecasting Assumptions'!R20</f>
        <v>15562.581969652223</v>
      </c>
      <c r="S21" s="124"/>
    </row>
    <row r="22" spans="1:19">
      <c r="A22" s="231" t="s">
        <v>101</v>
      </c>
      <c r="B22" s="43">
        <f>B19+B20+B21</f>
        <v>1345790</v>
      </c>
      <c r="C22" s="43">
        <f>C19+C20+C21</f>
        <v>1774445</v>
      </c>
      <c r="D22" s="43">
        <f>D19+D20+D21</f>
        <v>1742061</v>
      </c>
      <c r="E22" s="43">
        <f>E19+E20+E21</f>
        <v>1425000</v>
      </c>
      <c r="F22" s="43">
        <f>F19+F20+F21</f>
        <v>1588000</v>
      </c>
      <c r="G22" s="28">
        <f t="shared" ref="G22:L22" si="11">G19+G20+G21</f>
        <v>1677554.5836413323</v>
      </c>
      <c r="H22" s="28">
        <f t="shared" si="11"/>
        <v>1752184.0603335204</v>
      </c>
      <c r="I22" s="28">
        <f t="shared" si="11"/>
        <v>1827242.5472061373</v>
      </c>
      <c r="J22" s="28">
        <f t="shared" si="11"/>
        <v>1902501.4376378963</v>
      </c>
      <c r="K22" s="28">
        <f t="shared" si="11"/>
        <v>1977720.9623722965</v>
      </c>
      <c r="L22" s="28">
        <f t="shared" si="11"/>
        <v>2052651.2753606455</v>
      </c>
      <c r="M22" s="28">
        <f t="shared" ref="M22:R22" si="12">M19+M20+M21</f>
        <v>2127033.6710492154</v>
      </c>
      <c r="N22" s="28">
        <f t="shared" si="12"/>
        <v>2200601.9269076618</v>
      </c>
      <c r="O22" s="28">
        <f t="shared" si="12"/>
        <v>2273083.7632733309</v>
      </c>
      <c r="P22" s="28">
        <f t="shared" si="12"/>
        <v>2344202.4108915031</v>
      </c>
      <c r="Q22" s="28">
        <f t="shared" si="12"/>
        <v>2413678.2748914952</v>
      </c>
      <c r="R22" s="28">
        <f t="shared" si="12"/>
        <v>2486088.6231382405</v>
      </c>
      <c r="S22" s="124"/>
    </row>
    <row r="23" spans="1:19">
      <c r="A23" s="231" t="s">
        <v>195</v>
      </c>
      <c r="B23" s="111">
        <f>B92</f>
        <v>-503830</v>
      </c>
      <c r="C23" s="111">
        <f>C92</f>
        <v>-665764</v>
      </c>
      <c r="D23" s="111">
        <f>D92</f>
        <v>-658210</v>
      </c>
      <c r="E23" s="111">
        <f>E92</f>
        <v>-540000</v>
      </c>
      <c r="F23" s="111">
        <f>F92</f>
        <v>-597000</v>
      </c>
      <c r="G23" s="128">
        <f>-G22*'Forecasting Assumptions'!G21</f>
        <v>-630667.56072662177</v>
      </c>
      <c r="H23" s="123">
        <f>-H22*'Forecasting Assumptions'!H21</f>
        <v>-658724.10832437768</v>
      </c>
      <c r="I23" s="123">
        <f>-I22*'Forecasting Assumptions'!I21</f>
        <v>-686941.93997611082</v>
      </c>
      <c r="J23" s="123">
        <f>-J22*'Forecasting Assumptions'!J21</f>
        <v>-715235.1122605945</v>
      </c>
      <c r="K23" s="123">
        <f>-K22*'Forecasting Assumptions'!K21</f>
        <v>-743513.4852243457</v>
      </c>
      <c r="L23" s="123">
        <f>-L22*'Forecasting Assumptions'!L21</f>
        <v>-771683.13059842912</v>
      </c>
      <c r="M23" s="28">
        <f>-M22*'Forecasting Assumptions'!M21</f>
        <v>-799646.78943097079</v>
      </c>
      <c r="N23" s="28">
        <f>-N22*'Forecasting Assumptions'!N21</f>
        <v>-827304.37680344714</v>
      </c>
      <c r="O23" s="28">
        <f>-O22*'Forecasting Assumptions'!O21</f>
        <v>-854553.53065124596</v>
      </c>
      <c r="P23" s="28">
        <f>-P22*'Forecasting Assumptions'!P21</f>
        <v>-881290.20107193163</v>
      </c>
      <c r="Q23" s="28">
        <f>-Q22*'Forecasting Assumptions'!Q21</f>
        <v>-907409.27588804951</v>
      </c>
      <c r="R23" s="28">
        <f>-R22*'Forecasting Assumptions'!R21</f>
        <v>-934631.55416469125</v>
      </c>
      <c r="S23" s="124"/>
    </row>
    <row r="24" spans="1:19">
      <c r="A24" s="231" t="s">
        <v>465</v>
      </c>
      <c r="B24" s="111">
        <f>B94</f>
        <v>0</v>
      </c>
      <c r="C24" s="111">
        <f>C94</f>
        <v>0</v>
      </c>
      <c r="D24" s="111">
        <f>D94</f>
        <v>0</v>
      </c>
      <c r="E24" s="111">
        <f>E94</f>
        <v>0</v>
      </c>
      <c r="F24" s="111">
        <f>F94</f>
        <v>0</v>
      </c>
      <c r="G24" s="128">
        <f>G12*'Forecasting Assumptions'!G23</f>
        <v>0</v>
      </c>
      <c r="H24" s="123">
        <f>H12*'Forecasting Assumptions'!H23</f>
        <v>0</v>
      </c>
      <c r="I24" s="123">
        <f>I12*'Forecasting Assumptions'!I23</f>
        <v>0</v>
      </c>
      <c r="J24" s="123">
        <f>J12*'Forecasting Assumptions'!J23</f>
        <v>0</v>
      </c>
      <c r="K24" s="123">
        <f>K12*'Forecasting Assumptions'!K23</f>
        <v>0</v>
      </c>
      <c r="L24" s="123">
        <f>L12*'Forecasting Assumptions'!L23</f>
        <v>0</v>
      </c>
      <c r="M24" s="28">
        <f>M12*'Forecasting Assumptions'!M23</f>
        <v>0</v>
      </c>
      <c r="N24" s="28">
        <f>N12*'Forecasting Assumptions'!N23</f>
        <v>0</v>
      </c>
      <c r="O24" s="28">
        <f>O12*'Forecasting Assumptions'!O23</f>
        <v>0</v>
      </c>
      <c r="P24" s="28">
        <f>P12*'Forecasting Assumptions'!P23</f>
        <v>0</v>
      </c>
      <c r="Q24" s="28">
        <f>Q12*'Forecasting Assumptions'!Q23</f>
        <v>0</v>
      </c>
      <c r="R24" s="28">
        <f>R12*'Forecasting Assumptions'!R23</f>
        <v>0</v>
      </c>
      <c r="S24" s="124"/>
    </row>
    <row r="25" spans="1:19">
      <c r="A25" s="231" t="s">
        <v>441</v>
      </c>
      <c r="B25" s="43">
        <f t="shared" ref="B25:G25" si="13">B22+B23+B24</f>
        <v>841960</v>
      </c>
      <c r="C25" s="43">
        <f t="shared" si="13"/>
        <v>1108681</v>
      </c>
      <c r="D25" s="43">
        <f t="shared" si="13"/>
        <v>1083851</v>
      </c>
      <c r="E25" s="43">
        <f t="shared" si="13"/>
        <v>885000</v>
      </c>
      <c r="F25" s="43">
        <f t="shared" si="13"/>
        <v>991000</v>
      </c>
      <c r="G25" s="28">
        <f t="shared" si="13"/>
        <v>1046887.0229147106</v>
      </c>
      <c r="H25" s="28">
        <f t="shared" ref="H25:R25" si="14">H22+H23+H24</f>
        <v>1093459.9520091428</v>
      </c>
      <c r="I25" s="28">
        <f t="shared" si="14"/>
        <v>1140300.6072300265</v>
      </c>
      <c r="J25" s="28">
        <f t="shared" si="14"/>
        <v>1187266.3253773018</v>
      </c>
      <c r="K25" s="28">
        <f t="shared" si="14"/>
        <v>1234207.4771479508</v>
      </c>
      <c r="L25" s="28">
        <f t="shared" si="14"/>
        <v>1280968.1447622164</v>
      </c>
      <c r="M25" s="28">
        <f t="shared" si="14"/>
        <v>1327386.8816182446</v>
      </c>
      <c r="N25" s="28">
        <f t="shared" si="14"/>
        <v>1373297.5501042148</v>
      </c>
      <c r="O25" s="28">
        <f t="shared" si="14"/>
        <v>1418530.2326220849</v>
      </c>
      <c r="P25" s="28">
        <f t="shared" si="14"/>
        <v>1462912.2098195716</v>
      </c>
      <c r="Q25" s="28">
        <f t="shared" si="14"/>
        <v>1506268.9990034457</v>
      </c>
      <c r="R25" s="28">
        <f t="shared" si="14"/>
        <v>1551457.0689735492</v>
      </c>
      <c r="S25" s="124"/>
    </row>
    <row r="26" spans="1:19">
      <c r="A26" s="231" t="s">
        <v>502</v>
      </c>
      <c r="B26" s="111">
        <f>B95</f>
        <v>0</v>
      </c>
      <c r="C26" s="111">
        <f>C95</f>
        <v>0</v>
      </c>
      <c r="D26" s="111">
        <f>D95</f>
        <v>0</v>
      </c>
      <c r="E26" s="111">
        <f>E95</f>
        <v>0</v>
      </c>
      <c r="F26" s="111">
        <f>F95</f>
        <v>0</v>
      </c>
      <c r="G26" s="128">
        <f>G12*'Forecasting Assumptions'!G24</f>
        <v>0</v>
      </c>
      <c r="H26" s="123">
        <f>H12*'Forecasting Assumptions'!H24</f>
        <v>0</v>
      </c>
      <c r="I26" s="123">
        <f>I12*'Forecasting Assumptions'!I24</f>
        <v>0</v>
      </c>
      <c r="J26" s="123">
        <f>J12*'Forecasting Assumptions'!J24</f>
        <v>0</v>
      </c>
      <c r="K26" s="123">
        <f>K12*'Forecasting Assumptions'!K24</f>
        <v>0</v>
      </c>
      <c r="L26" s="123">
        <f>L12*'Forecasting Assumptions'!L24</f>
        <v>0</v>
      </c>
      <c r="M26" s="28">
        <f>M12*'Forecasting Assumptions'!M24</f>
        <v>0</v>
      </c>
      <c r="N26" s="28">
        <f>N12*'Forecasting Assumptions'!N24</f>
        <v>0</v>
      </c>
      <c r="O26" s="28">
        <f>O12*'Forecasting Assumptions'!O24</f>
        <v>0</v>
      </c>
      <c r="P26" s="28">
        <f>P12*'Forecasting Assumptions'!P24</f>
        <v>0</v>
      </c>
      <c r="Q26" s="28">
        <f>Q12*'Forecasting Assumptions'!Q24</f>
        <v>0</v>
      </c>
      <c r="R26" s="28">
        <f>R12*'Forecasting Assumptions'!R24</f>
        <v>0</v>
      </c>
      <c r="S26" s="124"/>
    </row>
    <row r="27" spans="1:19">
      <c r="A27" s="231" t="s">
        <v>196</v>
      </c>
      <c r="B27" s="111">
        <f>B93</f>
        <v>0</v>
      </c>
      <c r="C27" s="111">
        <f>C93</f>
        <v>0</v>
      </c>
      <c r="D27" s="111">
        <f>D93</f>
        <v>0</v>
      </c>
      <c r="E27" s="111">
        <f>E93</f>
        <v>0</v>
      </c>
      <c r="F27" s="111">
        <f>F93</f>
        <v>0</v>
      </c>
      <c r="G27" s="128">
        <f>-(G22+G23)*'Forecasting Assumptions'!G22</f>
        <v>0</v>
      </c>
      <c r="H27" s="123">
        <f>-(H22+H23)*'Forecasting Assumptions'!H22</f>
        <v>0</v>
      </c>
      <c r="I27" s="123">
        <f>-(I22+I23)*'Forecasting Assumptions'!I22</f>
        <v>0</v>
      </c>
      <c r="J27" s="123">
        <f>-(J22+J23)*'Forecasting Assumptions'!J22</f>
        <v>0</v>
      </c>
      <c r="K27" s="123">
        <f>-(K22+K23)*'Forecasting Assumptions'!K22</f>
        <v>0</v>
      </c>
      <c r="L27" s="123">
        <f>-(L22+L23)*'Forecasting Assumptions'!L22</f>
        <v>0</v>
      </c>
      <c r="M27" s="28">
        <f>-(M22+M23)*'Forecasting Assumptions'!M22</f>
        <v>0</v>
      </c>
      <c r="N27" s="28">
        <f>-(N22+N23)*'Forecasting Assumptions'!N22</f>
        <v>0</v>
      </c>
      <c r="O27" s="28">
        <f>-(O22+O23)*'Forecasting Assumptions'!O22</f>
        <v>0</v>
      </c>
      <c r="P27" s="28">
        <f>-(P22+P23)*'Forecasting Assumptions'!P22</f>
        <v>0</v>
      </c>
      <c r="Q27" s="28">
        <f>-(Q22+Q23)*'Forecasting Assumptions'!Q22</f>
        <v>0</v>
      </c>
      <c r="R27" s="28">
        <f>-(R22+R23)*'Forecasting Assumptions'!R22</f>
        <v>0</v>
      </c>
      <c r="S27" s="124"/>
    </row>
    <row r="28" spans="1:19">
      <c r="A28" s="231" t="s">
        <v>543</v>
      </c>
      <c r="B28" s="111">
        <f>B96</f>
        <v>0</v>
      </c>
      <c r="C28" s="111">
        <f>C96</f>
        <v>0</v>
      </c>
      <c r="D28" s="111">
        <f>D96</f>
        <v>0</v>
      </c>
      <c r="E28" s="111">
        <f>E96</f>
        <v>0</v>
      </c>
      <c r="F28" s="111">
        <f>F96</f>
        <v>0</v>
      </c>
      <c r="G28" s="127">
        <f>-((G54+F54)/2)*'Forecasting Assumptions'!G25</f>
        <v>0</v>
      </c>
      <c r="H28" s="130">
        <f>-((H54+G54)/2)*'Forecasting Assumptions'!H25</f>
        <v>0</v>
      </c>
      <c r="I28" s="130">
        <f>-((I54+H54)/2)*'Forecasting Assumptions'!I25</f>
        <v>0</v>
      </c>
      <c r="J28" s="130">
        <f>-((J54+I54)/2)*'Forecasting Assumptions'!J25</f>
        <v>0</v>
      </c>
      <c r="K28" s="130">
        <f>-((K54+J54)/2)*'Forecasting Assumptions'!K25</f>
        <v>0</v>
      </c>
      <c r="L28" s="130">
        <f>-((L54+K54)/2)*'Forecasting Assumptions'!L25</f>
        <v>0</v>
      </c>
      <c r="M28" s="28">
        <f>-((M54+L54)/2)*'Forecasting Assumptions'!M25</f>
        <v>0</v>
      </c>
      <c r="N28" s="28">
        <f>-((N54+M54)/2)*'Forecasting Assumptions'!N25</f>
        <v>0</v>
      </c>
      <c r="O28" s="28">
        <f>-((O54+N54)/2)*'Forecasting Assumptions'!O25</f>
        <v>0</v>
      </c>
      <c r="P28" s="28">
        <f>-((P54+O54)/2)*'Forecasting Assumptions'!P25</f>
        <v>0</v>
      </c>
      <c r="Q28" s="28">
        <f>-((Q54+P54)/2)*'Forecasting Assumptions'!Q25</f>
        <v>0</v>
      </c>
      <c r="R28" s="28">
        <f>-((R54+Q54)/2)*'Forecasting Assumptions'!R25</f>
        <v>0</v>
      </c>
      <c r="S28" s="124"/>
    </row>
    <row r="29" spans="1:19" ht="14" thickBot="1">
      <c r="A29" s="231" t="s">
        <v>326</v>
      </c>
      <c r="B29" s="55">
        <f t="shared" ref="B29:G29" si="15">B25+B26+B27+B28</f>
        <v>841960</v>
      </c>
      <c r="C29" s="55">
        <f t="shared" si="15"/>
        <v>1108681</v>
      </c>
      <c r="D29" s="55">
        <f t="shared" si="15"/>
        <v>1083851</v>
      </c>
      <c r="E29" s="55">
        <f t="shared" si="15"/>
        <v>885000</v>
      </c>
      <c r="F29" s="55">
        <f t="shared" si="15"/>
        <v>991000</v>
      </c>
      <c r="G29" s="30">
        <f t="shared" si="15"/>
        <v>1046887.0229147106</v>
      </c>
      <c r="H29" s="30">
        <f t="shared" ref="H29:R29" si="16">H25+H26+H27+H28</f>
        <v>1093459.9520091428</v>
      </c>
      <c r="I29" s="30">
        <f t="shared" si="16"/>
        <v>1140300.6072300265</v>
      </c>
      <c r="J29" s="30">
        <f t="shared" si="16"/>
        <v>1187266.3253773018</v>
      </c>
      <c r="K29" s="30">
        <f t="shared" si="16"/>
        <v>1234207.4771479508</v>
      </c>
      <c r="L29" s="30">
        <f t="shared" si="16"/>
        <v>1280968.1447622164</v>
      </c>
      <c r="M29" s="30">
        <f t="shared" si="16"/>
        <v>1327386.8816182446</v>
      </c>
      <c r="N29" s="30">
        <f t="shared" si="16"/>
        <v>1373297.5501042148</v>
      </c>
      <c r="O29" s="30">
        <f t="shared" si="16"/>
        <v>1418530.2326220849</v>
      </c>
      <c r="P29" s="30">
        <f t="shared" si="16"/>
        <v>1462912.2098195716</v>
      </c>
      <c r="Q29" s="30">
        <f t="shared" si="16"/>
        <v>1506268.9990034457</v>
      </c>
      <c r="R29" s="30">
        <f t="shared" si="16"/>
        <v>1551457.0689735492</v>
      </c>
      <c r="S29" s="124"/>
    </row>
    <row r="30" spans="1:19" ht="14" thickTop="1">
      <c r="A30" s="77"/>
      <c r="B30" s="80" t="str">
        <f>IF(B13&gt;0,"Error! -Exp?",IF(B15&gt;0,"Error! -Exp?",IF(B16&gt;0,"Error! -Exp?","")))</f>
        <v/>
      </c>
      <c r="C30" s="80" t="s">
        <v>404</v>
      </c>
      <c r="D30" s="80" t="s">
        <v>404</v>
      </c>
      <c r="E30" s="80" t="s">
        <v>404</v>
      </c>
      <c r="F30" s="80" t="s">
        <v>404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S30" s="124"/>
    </row>
    <row r="31" spans="1:19">
      <c r="A31" s="6" t="s">
        <v>211</v>
      </c>
      <c r="B31" s="46"/>
      <c r="C31" s="46"/>
      <c r="D31" s="46"/>
      <c r="E31" s="43"/>
      <c r="F31" s="43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S31" s="124"/>
    </row>
    <row r="32" spans="1:19">
      <c r="A32" s="6"/>
      <c r="B32" s="46"/>
      <c r="C32" s="46"/>
      <c r="D32" s="46"/>
      <c r="E32" s="43"/>
      <c r="F32" s="4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S32" s="124"/>
    </row>
    <row r="33" spans="1:19">
      <c r="A33" s="231" t="s">
        <v>327</v>
      </c>
      <c r="B33" s="111">
        <f t="shared" ref="B33:F36" si="17">B97</f>
        <v>286916</v>
      </c>
      <c r="C33" s="111">
        <f t="shared" si="17"/>
        <v>620400</v>
      </c>
      <c r="D33" s="111">
        <f t="shared" si="17"/>
        <v>663671</v>
      </c>
      <c r="E33" s="111">
        <f t="shared" si="17"/>
        <v>676000</v>
      </c>
      <c r="F33" s="111">
        <f>F97</f>
        <v>2267000</v>
      </c>
      <c r="G33" s="129">
        <f>G12*'Forecasting Assumptions'!G29</f>
        <v>2372399.1085484168</v>
      </c>
      <c r="H33" s="122">
        <f>H12*'Forecasting Assumptions'!H29</f>
        <v>2478785.7703848053</v>
      </c>
      <c r="I33" s="122">
        <f>I12*'Forecasting Assumptions'!I29</f>
        <v>2585854.9774574218</v>
      </c>
      <c r="J33" s="122">
        <f>J12*'Forecasting Assumptions'!J29</f>
        <v>2693284.1639270792</v>
      </c>
      <c r="K33" s="122">
        <f>K12*'Forecasting Assumptions'!K29</f>
        <v>2800734.5178586021</v>
      </c>
      <c r="L33" s="122">
        <f>L12*'Forecasting Assumptions'!L29</f>
        <v>2907852.4878680063</v>
      </c>
      <c r="M33" s="5">
        <f>M12*'Forecasting Assumptions'!M29</f>
        <v>3014271.4788801698</v>
      </c>
      <c r="N33" s="5">
        <f>N12*'Forecasting Assumptions'!N29</f>
        <v>3119613.7286967174</v>
      </c>
      <c r="O33" s="5">
        <f>O12*'Forecasting Assumptions'!O29</f>
        <v>3223492.3546142029</v>
      </c>
      <c r="P33" s="5">
        <f>P12*'Forecasting Assumptions'!P29</f>
        <v>3325513.5569046652</v>
      </c>
      <c r="Q33" s="5">
        <f>Q12*'Forecasting Assumptions'!Q29</f>
        <v>3425278.9636118049</v>
      </c>
      <c r="R33" s="5">
        <f>R12*'Forecasting Assumptions'!R29</f>
        <v>3528037.332520159</v>
      </c>
      <c r="S33" s="124"/>
    </row>
    <row r="34" spans="1:19">
      <c r="A34" s="231" t="s">
        <v>328</v>
      </c>
      <c r="B34" s="111">
        <f t="shared" si="17"/>
        <v>1652065</v>
      </c>
      <c r="C34" s="111">
        <f t="shared" si="17"/>
        <v>0</v>
      </c>
      <c r="D34" s="111">
        <f t="shared" si="17"/>
        <v>0</v>
      </c>
      <c r="E34" s="111">
        <f t="shared" si="17"/>
        <v>0</v>
      </c>
      <c r="F34" s="111">
        <f t="shared" si="17"/>
        <v>0</v>
      </c>
      <c r="G34" s="129">
        <f>G12*'Forecasting Assumptions'!G30</f>
        <v>0</v>
      </c>
      <c r="H34" s="122">
        <f>H12*'Forecasting Assumptions'!H30</f>
        <v>0</v>
      </c>
      <c r="I34" s="122">
        <f>I12*'Forecasting Assumptions'!I30</f>
        <v>0</v>
      </c>
      <c r="J34" s="122">
        <f>J12*'Forecasting Assumptions'!J30</f>
        <v>0</v>
      </c>
      <c r="K34" s="122">
        <f>K12*'Forecasting Assumptions'!K30</f>
        <v>0</v>
      </c>
      <c r="L34" s="122">
        <f>L12*'Forecasting Assumptions'!L30</f>
        <v>0</v>
      </c>
      <c r="M34" s="5">
        <f>M12*'Forecasting Assumptions'!M30</f>
        <v>0</v>
      </c>
      <c r="N34" s="5">
        <f>N12*'Forecasting Assumptions'!N30</f>
        <v>0</v>
      </c>
      <c r="O34" s="5">
        <f>O12*'Forecasting Assumptions'!O30</f>
        <v>0</v>
      </c>
      <c r="P34" s="5">
        <f>P12*'Forecasting Assumptions'!P30</f>
        <v>0</v>
      </c>
      <c r="Q34" s="5">
        <f>Q12*'Forecasting Assumptions'!Q30</f>
        <v>0</v>
      </c>
      <c r="R34" s="5">
        <f>R12*'Forecasting Assumptions'!R30</f>
        <v>0</v>
      </c>
      <c r="S34" s="124"/>
    </row>
    <row r="35" spans="1:19">
      <c r="A35" s="231" t="s">
        <v>329</v>
      </c>
      <c r="B35" s="111">
        <f t="shared" si="17"/>
        <v>2237568</v>
      </c>
      <c r="C35" s="111">
        <f t="shared" si="17"/>
        <v>2588099</v>
      </c>
      <c r="D35" s="111">
        <f t="shared" si="17"/>
        <v>2855733</v>
      </c>
      <c r="E35" s="111">
        <f t="shared" si="17"/>
        <v>2799000</v>
      </c>
      <c r="F35" s="111">
        <f t="shared" si="17"/>
        <v>2923000</v>
      </c>
      <c r="G35" s="129">
        <f>-G13*'Forecasting Assumptions'!G31</f>
        <v>3058898.3653670144</v>
      </c>
      <c r="H35" s="122">
        <f>-H13*'Forecasting Assumptions'!H31</f>
        <v>3196070.0515371794</v>
      </c>
      <c r="I35" s="122">
        <f>-I13*'Forecasting Assumptions'!I31</f>
        <v>3334121.7905196492</v>
      </c>
      <c r="J35" s="122">
        <f>-J13*'Forecasting Assumptions'!J31</f>
        <v>3472637.6758530447</v>
      </c>
      <c r="K35" s="122">
        <f>-K13*'Forecasting Assumptions'!K31</f>
        <v>3611180.8538600327</v>
      </c>
      <c r="L35" s="122">
        <f>-L13*'Forecasting Assumptions'!L31</f>
        <v>3749295.4662718056</v>
      </c>
      <c r="M35" s="5">
        <f>-M13*'Forecasting Assumptions'!M31</f>
        <v>3886508.8366858121</v>
      </c>
      <c r="N35" s="5">
        <f>-N13*'Forecasting Assumptions'!N31</f>
        <v>4022333.8901546118</v>
      </c>
      <c r="O35" s="5">
        <f>-O13*'Forecasting Assumptions'!O31</f>
        <v>4156271.7920323396</v>
      </c>
      <c r="P35" s="5">
        <f>-P13*'Forecasting Assumptions'!P31</f>
        <v>4287814.7890746957</v>
      </c>
      <c r="Q35" s="5">
        <f>-Q13*'Forecasting Assumptions'!Q31</f>
        <v>4416449.2327469364</v>
      </c>
      <c r="R35" s="5">
        <f>-R13*'Forecasting Assumptions'!R31</f>
        <v>4548942.7097293446</v>
      </c>
      <c r="S35" s="124"/>
    </row>
    <row r="36" spans="1:19">
      <c r="A36" s="231" t="s">
        <v>432</v>
      </c>
      <c r="B36" s="111">
        <f t="shared" si="17"/>
        <v>89502.999999999418</v>
      </c>
      <c r="C36" s="111">
        <f t="shared" si="17"/>
        <v>192540.99999999983</v>
      </c>
      <c r="D36" s="111">
        <f t="shared" si="17"/>
        <v>204484.99999999991</v>
      </c>
      <c r="E36" s="111">
        <f t="shared" si="17"/>
        <v>225000</v>
      </c>
      <c r="F36" s="111">
        <f t="shared" si="17"/>
        <v>295000</v>
      </c>
      <c r="G36" s="129">
        <f>G12*'Forecasting Assumptions'!G32</f>
        <v>308715.36701446091</v>
      </c>
      <c r="H36" s="122">
        <f>H12*'Forecasting Assumptions'!H32</f>
        <v>322559.24228650972</v>
      </c>
      <c r="I36" s="122">
        <f>I12*'Forecasting Assumptions'!I32</f>
        <v>336491.93575206859</v>
      </c>
      <c r="J36" s="122">
        <f>J12*'Forecasting Assumptions'!J32</f>
        <v>350471.47258865833</v>
      </c>
      <c r="K36" s="122">
        <f>K12*'Forecasting Assumptions'!K32</f>
        <v>364453.76390308229</v>
      </c>
      <c r="L36" s="122">
        <f>L12*'Forecasting Assumptions'!L32</f>
        <v>378392.80278829375</v>
      </c>
      <c r="M36" s="5">
        <f>M12*'Forecasting Assumptions'!M32</f>
        <v>392240.88498881785</v>
      </c>
      <c r="N36" s="5">
        <f>N12*'Forecasting Assumptions'!N32</f>
        <v>405948.85309463239</v>
      </c>
      <c r="O36" s="5">
        <f>O12*'Forecasting Assumptions'!O32</f>
        <v>419466.36286333913</v>
      </c>
      <c r="P36" s="5">
        <f>P12*'Forecasting Assumptions'!P32</f>
        <v>432742.16995451087</v>
      </c>
      <c r="Q36" s="5">
        <f>Q12*'Forecasting Assumptions'!Q32</f>
        <v>445724.43505314621</v>
      </c>
      <c r="R36" s="5">
        <f>R12*'Forecasting Assumptions'!R32</f>
        <v>459096.16810474056</v>
      </c>
      <c r="S36" s="124"/>
    </row>
    <row r="37" spans="1:19">
      <c r="A37" s="231" t="s">
        <v>8</v>
      </c>
      <c r="B37" s="43">
        <f t="shared" ref="B37:R37" si="18">SUM(B33:B36)</f>
        <v>4266051.9999999991</v>
      </c>
      <c r="C37" s="43">
        <f t="shared" si="18"/>
        <v>3401040</v>
      </c>
      <c r="D37" s="43">
        <f t="shared" si="18"/>
        <v>3723889</v>
      </c>
      <c r="E37" s="43">
        <f t="shared" si="18"/>
        <v>3700000</v>
      </c>
      <c r="F37" s="43">
        <f t="shared" si="18"/>
        <v>5485000</v>
      </c>
      <c r="G37" s="5">
        <f t="shared" si="18"/>
        <v>5740012.8409298928</v>
      </c>
      <c r="H37" s="5">
        <f t="shared" si="18"/>
        <v>5997415.0642084945</v>
      </c>
      <c r="I37" s="5">
        <f t="shared" si="18"/>
        <v>6256468.7037291396</v>
      </c>
      <c r="J37" s="5">
        <f t="shared" si="18"/>
        <v>6516393.3123687822</v>
      </c>
      <c r="K37" s="5">
        <f t="shared" si="18"/>
        <v>6776369.1356217172</v>
      </c>
      <c r="L37" s="5">
        <f t="shared" si="18"/>
        <v>7035540.7569281058</v>
      </c>
      <c r="M37" s="5">
        <f t="shared" si="18"/>
        <v>7293021.2005547993</v>
      </c>
      <c r="N37" s="5">
        <f t="shared" si="18"/>
        <v>7547896.4719459619</v>
      </c>
      <c r="O37" s="5">
        <f t="shared" si="18"/>
        <v>7799230.509509882</v>
      </c>
      <c r="P37" s="5">
        <f t="shared" si="18"/>
        <v>8046070.5159338713</v>
      </c>
      <c r="Q37" s="5">
        <f t="shared" si="18"/>
        <v>8287452.6314118877</v>
      </c>
      <c r="R37" s="5">
        <f t="shared" si="18"/>
        <v>8536076.2103542443</v>
      </c>
      <c r="S37" s="124"/>
    </row>
    <row r="38" spans="1:19">
      <c r="A38" s="231" t="s">
        <v>276</v>
      </c>
      <c r="B38" s="111">
        <f t="shared" ref="B38:F41" si="19">B101</f>
        <v>4543832</v>
      </c>
      <c r="C38" s="111">
        <f t="shared" si="19"/>
        <v>5352974</v>
      </c>
      <c r="D38" s="111">
        <f t="shared" si="19"/>
        <v>6509819</v>
      </c>
      <c r="E38" s="111">
        <f t="shared" si="19"/>
        <v>6984000</v>
      </c>
      <c r="F38" s="111">
        <f t="shared" si="19"/>
        <v>7018000</v>
      </c>
      <c r="G38" s="129">
        <f>G12*'Forecasting Assumptions'!G37</f>
        <v>7344286.2566355485</v>
      </c>
      <c r="H38" s="122">
        <f>H12*'Forecasting Assumptions'!H37</f>
        <v>7673629.7029380519</v>
      </c>
      <c r="I38" s="122">
        <f>I12*'Forecasting Assumptions'!I37</f>
        <v>8005086.1190102277</v>
      </c>
      <c r="J38" s="122">
        <f>J12*'Forecasting Assumptions'!J37</f>
        <v>8337656.9309396753</v>
      </c>
      <c r="K38" s="122">
        <f>K12*'Forecasting Assumptions'!K37</f>
        <v>8670293.2714299373</v>
      </c>
      <c r="L38" s="122">
        <f>L12*'Forecasting Assumptions'!L37</f>
        <v>9001900.6439601537</v>
      </c>
      <c r="M38" s="5">
        <f>M12*'Forecasting Assumptions'!M37</f>
        <v>9331344.1723780464</v>
      </c>
      <c r="N38" s="5">
        <f>N12*'Forecasting Assumptions'!N37</f>
        <v>9657454.4102309495</v>
      </c>
      <c r="O38" s="5">
        <f>O12*'Forecasting Assumptions'!O37</f>
        <v>9979033.6765251327</v>
      </c>
      <c r="P38" s="5">
        <f>P12*'Forecasting Assumptions'!P37</f>
        <v>10294862.877087314</v>
      </c>
      <c r="Q38" s="5">
        <f>Q12*'Forecasting Assumptions'!Q37</f>
        <v>10603708.763399933</v>
      </c>
      <c r="R38" s="5">
        <f>R12*'Forecasting Assumptions'!R37</f>
        <v>10921820.02630193</v>
      </c>
      <c r="S38" s="124"/>
    </row>
    <row r="39" spans="1:19">
      <c r="A39" s="231" t="s">
        <v>399</v>
      </c>
      <c r="B39" s="111">
        <f t="shared" si="19"/>
        <v>0</v>
      </c>
      <c r="C39" s="111">
        <f t="shared" si="19"/>
        <v>0</v>
      </c>
      <c r="D39" s="111">
        <f t="shared" si="19"/>
        <v>0</v>
      </c>
      <c r="E39" s="111">
        <f t="shared" si="19"/>
        <v>332000</v>
      </c>
      <c r="F39" s="111">
        <f t="shared" si="19"/>
        <v>321000</v>
      </c>
      <c r="G39" s="129">
        <f>G12*'Forecasting Assumptions'!G38</f>
        <v>335924.17902251508</v>
      </c>
      <c r="H39" s="122">
        <f>H12*'Forecasting Assumptions'!H38</f>
        <v>350988.19245413429</v>
      </c>
      <c r="I39" s="122">
        <f>I12*'Forecasting Assumptions'!I38</f>
        <v>366148.85212343733</v>
      </c>
      <c r="J39" s="122">
        <f>J12*'Forecasting Assumptions'!J38</f>
        <v>381360.48373206548</v>
      </c>
      <c r="K39" s="122">
        <f>K12*'Forecasting Assumptions'!K38</f>
        <v>396575.11258606584</v>
      </c>
      <c r="L39" s="122">
        <f>L12*'Forecasting Assumptions'!L38</f>
        <v>411742.67693234672</v>
      </c>
      <c r="M39" s="5">
        <f>M12*'Forecasting Assumptions'!M38</f>
        <v>426811.26807257807</v>
      </c>
      <c r="N39" s="5">
        <f>N12*'Forecasting Assumptions'!N38</f>
        <v>441727.39607924409</v>
      </c>
      <c r="O39" s="5">
        <f>O12*'Forecasting Assumptions'!O38</f>
        <v>456436.27959027747</v>
      </c>
      <c r="P39" s="5">
        <f>P12*'Forecasting Assumptions'!P38</f>
        <v>470882.15781490848</v>
      </c>
      <c r="Q39" s="5">
        <f>Q12*'Forecasting Assumptions'!Q38</f>
        <v>485008.62254935573</v>
      </c>
      <c r="R39" s="5">
        <f>R12*'Forecasting Assumptions'!R38</f>
        <v>499558.88122583635</v>
      </c>
      <c r="S39" s="124"/>
    </row>
    <row r="40" spans="1:19">
      <c r="A40" s="231" t="s">
        <v>400</v>
      </c>
      <c r="B40" s="111">
        <f t="shared" si="19"/>
        <v>221718</v>
      </c>
      <c r="C40" s="111">
        <f t="shared" si="19"/>
        <v>228624</v>
      </c>
      <c r="D40" s="111">
        <f t="shared" si="19"/>
        <v>219296</v>
      </c>
      <c r="E40" s="111">
        <f t="shared" si="19"/>
        <v>210000</v>
      </c>
      <c r="F40" s="111">
        <f t="shared" si="19"/>
        <v>204000</v>
      </c>
      <c r="G40" s="129">
        <f>G12*'Forecasting Assumptions'!G39</f>
        <v>213484.52498627128</v>
      </c>
      <c r="H40" s="122">
        <f>H12*'Forecasting Assumptions'!H39</f>
        <v>223057.91669982366</v>
      </c>
      <c r="I40" s="122">
        <f>I12*'Forecasting Assumptions'!I39</f>
        <v>232692.72845227792</v>
      </c>
      <c r="J40" s="122">
        <f>J12*'Forecasting Assumptions'!J39</f>
        <v>242359.93358673318</v>
      </c>
      <c r="K40" s="122">
        <f>K12*'Forecasting Assumptions'!K39</f>
        <v>252029.04351263997</v>
      </c>
      <c r="L40" s="122">
        <f>L12*'Forecasting Assumptions'!L39</f>
        <v>261668.2432841082</v>
      </c>
      <c r="M40" s="5">
        <f>M12*'Forecasting Assumptions'!M39</f>
        <v>271244.54419565707</v>
      </c>
      <c r="N40" s="5">
        <f>N12*'Forecasting Assumptions'!N39</f>
        <v>280723.95264849154</v>
      </c>
      <c r="O40" s="5">
        <f>O12*'Forecasting Assumptions'!O39</f>
        <v>290071.65431905485</v>
      </c>
      <c r="P40" s="5">
        <f>P12*'Forecasting Assumptions'!P39</f>
        <v>299252.21244311938</v>
      </c>
      <c r="Q40" s="5">
        <f>Q12*'Forecasting Assumptions'!Q39</f>
        <v>308229.77881641296</v>
      </c>
      <c r="R40" s="5">
        <f>R12*'Forecasting Assumptions'!R39</f>
        <v>317476.67218090536</v>
      </c>
      <c r="S40" s="124"/>
    </row>
    <row r="41" spans="1:19">
      <c r="A41" s="231" t="s">
        <v>153</v>
      </c>
      <c r="B41" s="111">
        <f t="shared" si="19"/>
        <v>121435.99999999969</v>
      </c>
      <c r="C41" s="111">
        <f t="shared" si="19"/>
        <v>58538.99999999976</v>
      </c>
      <c r="D41" s="111">
        <f t="shared" si="19"/>
        <v>107077.99999999952</v>
      </c>
      <c r="E41" s="111">
        <f t="shared" si="19"/>
        <v>108000</v>
      </c>
      <c r="F41" s="111">
        <f t="shared" si="19"/>
        <v>132000</v>
      </c>
      <c r="G41" s="126">
        <f>G12*'Forecasting Assumptions'!G40</f>
        <v>138137.04557935201</v>
      </c>
      <c r="H41" s="131">
        <f>H12*'Forecasting Assumptions'!H40</f>
        <v>144331.59315870944</v>
      </c>
      <c r="I41" s="131">
        <f>I12*'Forecasting Assumptions'!I40</f>
        <v>150565.88311617984</v>
      </c>
      <c r="J41" s="131">
        <f>J12*'Forecasting Assumptions'!J40</f>
        <v>156821.13349729797</v>
      </c>
      <c r="K41" s="131">
        <f>K12*'Forecasting Assumptions'!K40</f>
        <v>163077.61639053174</v>
      </c>
      <c r="L41" s="131">
        <f>L12*'Forecasting Assumptions'!L40</f>
        <v>169314.74565442296</v>
      </c>
      <c r="M41" s="5">
        <f>M12*'Forecasting Assumptions'!M40</f>
        <v>175511.17565601342</v>
      </c>
      <c r="N41" s="5">
        <f>N12*'Forecasting Assumptions'!N40</f>
        <v>181644.91053725925</v>
      </c>
      <c r="O41" s="5">
        <f>O12*'Forecasting Assumptions'!O40</f>
        <v>187693.42338291786</v>
      </c>
      <c r="P41" s="5">
        <f>P12*'Forecasting Assumptions'!P40</f>
        <v>193633.78452201842</v>
      </c>
      <c r="Q41" s="5">
        <f>Q12*'Forecasting Assumptions'!Q40</f>
        <v>199442.79805767897</v>
      </c>
      <c r="R41" s="5">
        <f>R12*'Forecasting Assumptions'!R40</f>
        <v>205426.08199940933</v>
      </c>
      <c r="S41" s="124"/>
    </row>
    <row r="42" spans="1:19" ht="14" thickBot="1">
      <c r="A42" s="231" t="s">
        <v>154</v>
      </c>
      <c r="B42" s="55">
        <f>SUM(B37:B41)</f>
        <v>9153038</v>
      </c>
      <c r="C42" s="55">
        <f>SUM(C37:C41)</f>
        <v>9041177</v>
      </c>
      <c r="D42" s="55">
        <f>SUM(D37:D41)</f>
        <v>10560082</v>
      </c>
      <c r="E42" s="55">
        <f>SUM(E37:E41)</f>
        <v>11334000</v>
      </c>
      <c r="F42" s="55">
        <f>SUM(F37:F41)</f>
        <v>13160000</v>
      </c>
      <c r="G42" s="56">
        <f t="shared" ref="G42:L42" si="20">G37+G38+G39+G40+G41</f>
        <v>13771844.84715358</v>
      </c>
      <c r="H42" s="56">
        <f t="shared" si="20"/>
        <v>14389422.469459213</v>
      </c>
      <c r="I42" s="56">
        <f t="shared" si="20"/>
        <v>15010962.286431262</v>
      </c>
      <c r="J42" s="56">
        <f t="shared" si="20"/>
        <v>15634591.794124555</v>
      </c>
      <c r="K42" s="56">
        <f t="shared" si="20"/>
        <v>16258344.179540893</v>
      </c>
      <c r="L42" s="56">
        <f t="shared" si="20"/>
        <v>16880167.066759139</v>
      </c>
      <c r="M42" s="56">
        <f t="shared" ref="M42:R42" si="21">M37+M38+M39+M40+M41</f>
        <v>17497932.360857092</v>
      </c>
      <c r="N42" s="56">
        <f t="shared" si="21"/>
        <v>18109447.141441904</v>
      </c>
      <c r="O42" s="56">
        <f t="shared" si="21"/>
        <v>18712465.543327268</v>
      </c>
      <c r="P42" s="56">
        <f t="shared" si="21"/>
        <v>19304701.547801234</v>
      </c>
      <c r="Q42" s="56">
        <f t="shared" si="21"/>
        <v>19883842.594235267</v>
      </c>
      <c r="R42" s="56">
        <f t="shared" si="21"/>
        <v>20480357.872062325</v>
      </c>
      <c r="S42" s="124"/>
    </row>
    <row r="43" spans="1:19" ht="14" thickTop="1">
      <c r="A43" s="77"/>
      <c r="B43" s="43"/>
      <c r="C43" s="43"/>
      <c r="D43" s="43"/>
      <c r="E43" s="43"/>
      <c r="F43" s="4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24"/>
    </row>
    <row r="44" spans="1:19">
      <c r="A44" s="231" t="s">
        <v>155</v>
      </c>
      <c r="B44" s="111">
        <f t="shared" ref="B44:F47" si="22">B105</f>
        <v>107941</v>
      </c>
      <c r="C44" s="111">
        <f t="shared" si="22"/>
        <v>18841</v>
      </c>
      <c r="D44" s="111">
        <f t="shared" si="22"/>
        <v>12701</v>
      </c>
      <c r="E44" s="111">
        <f t="shared" si="22"/>
        <v>17000</v>
      </c>
      <c r="F44" s="111">
        <f t="shared" si="22"/>
        <v>16000</v>
      </c>
      <c r="G44" s="129">
        <f>G42*'Forecasting Assumptions'!G45</f>
        <v>16743.88431264873</v>
      </c>
      <c r="H44" s="122">
        <f>H42*'Forecasting Assumptions'!H45</f>
        <v>17494.738564692056</v>
      </c>
      <c r="I44" s="122">
        <f>I42*'Forecasting Assumptions'!I45</f>
        <v>18250.410074688465</v>
      </c>
      <c r="J44" s="122">
        <f>J42*'Forecasting Assumptions'!J45</f>
        <v>19008.622242096724</v>
      </c>
      <c r="K44" s="122">
        <f>K42*'Forecasting Assumptions'!K45</f>
        <v>19766.983804912943</v>
      </c>
      <c r="L44" s="122">
        <f>L42*'Forecasting Assumptions'!L45</f>
        <v>20522.999473263393</v>
      </c>
      <c r="M44" s="5">
        <f>M42*'Forecasting Assumptions'!M45</f>
        <v>21274.081897698594</v>
      </c>
      <c r="N44" s="5">
        <f>N42*'Forecasting Assumptions'!N45</f>
        <v>22017.564913607181</v>
      </c>
      <c r="O44" s="5">
        <f>O42*'Forecasting Assumptions'!O45</f>
        <v>22750.717985808231</v>
      </c>
      <c r="P44" s="5">
        <f>P42*'Forecasting Assumptions'!P45</f>
        <v>23470.761760244663</v>
      </c>
      <c r="Q44" s="5">
        <f>Q42*'Forecasting Assumptions'!Q45</f>
        <v>24174.884613052</v>
      </c>
      <c r="R44" s="5">
        <f>R42*'Forecasting Assumptions'!R45</f>
        <v>24900.131151443558</v>
      </c>
      <c r="S44" s="124"/>
    </row>
    <row r="45" spans="1:19">
      <c r="A45" s="231" t="s">
        <v>156</v>
      </c>
      <c r="B45" s="111">
        <f t="shared" si="22"/>
        <v>829971</v>
      </c>
      <c r="C45" s="111">
        <f t="shared" si="22"/>
        <v>934376</v>
      </c>
      <c r="D45" s="111">
        <f t="shared" si="22"/>
        <v>835985</v>
      </c>
      <c r="E45" s="111">
        <f t="shared" si="22"/>
        <v>881000</v>
      </c>
      <c r="F45" s="111">
        <f t="shared" si="22"/>
        <v>1188000</v>
      </c>
      <c r="G45" s="129">
        <f>-G13*'Forecasting Assumptions'!G33</f>
        <v>1243233.410214168</v>
      </c>
      <c r="H45" s="122">
        <f>-H13*'Forecasting Assumptions'!H33</f>
        <v>1298984.3384283849</v>
      </c>
      <c r="I45" s="122">
        <f>-I13*'Forecasting Assumptions'!I33</f>
        <v>1355092.9480456186</v>
      </c>
      <c r="J45" s="122">
        <f>-J13*'Forecasting Assumptions'!J33</f>
        <v>1411390.2014756817</v>
      </c>
      <c r="K45" s="122">
        <f>-K13*'Forecasting Assumptions'!K33</f>
        <v>1467698.547514786</v>
      </c>
      <c r="L45" s="122">
        <f>-L13*'Forecasting Assumptions'!L33</f>
        <v>1523832.7108898067</v>
      </c>
      <c r="M45" s="5">
        <f>-M13*'Forecasting Assumptions'!M33</f>
        <v>1579600.5809041208</v>
      </c>
      <c r="N45" s="5">
        <f>-N13*'Forecasting Assumptions'!N33</f>
        <v>1634804.1948353334</v>
      </c>
      <c r="O45" s="5">
        <f>-O13*'Forecasting Assumptions'!O33</f>
        <v>1689240.8104462607</v>
      </c>
      <c r="P45" s="5">
        <f>-P13*'Forecasting Assumptions'!P33</f>
        <v>1742704.060698166</v>
      </c>
      <c r="Q45" s="5">
        <f>-Q13*'Forecasting Assumptions'!Q33</f>
        <v>1794985.1825191109</v>
      </c>
      <c r="R45" s="5">
        <f>-R13*'Forecasting Assumptions'!R33</f>
        <v>1848834.7379946841</v>
      </c>
      <c r="S45" s="124"/>
    </row>
    <row r="46" spans="1:19">
      <c r="A46" s="231" t="s">
        <v>565</v>
      </c>
      <c r="B46" s="111">
        <f t="shared" si="22"/>
        <v>166908</v>
      </c>
      <c r="C46" s="111">
        <f t="shared" si="22"/>
        <v>233263</v>
      </c>
      <c r="D46" s="111">
        <f t="shared" si="22"/>
        <v>124254</v>
      </c>
      <c r="E46" s="111">
        <f t="shared" si="22"/>
        <v>105000</v>
      </c>
      <c r="F46" s="111">
        <f t="shared" si="22"/>
        <v>184000</v>
      </c>
      <c r="G46" s="129">
        <f>G12*'Forecasting Assumptions'!G34</f>
        <v>192554.66959546038</v>
      </c>
      <c r="H46" s="122">
        <f>H12*'Forecasting Assumptions'!H34</f>
        <v>201189.49349395864</v>
      </c>
      <c r="I46" s="122">
        <f>I12*'Forecasting Assumptions'!I34</f>
        <v>209879.71585891736</v>
      </c>
      <c r="J46" s="122">
        <f>J12*'Forecasting Assumptions'!J34</f>
        <v>218599.15578411231</v>
      </c>
      <c r="K46" s="122">
        <f>K12*'Forecasting Assumptions'!K34</f>
        <v>227320.31375649883</v>
      </c>
      <c r="L46" s="122">
        <f>L12*'Forecasting Assumptions'!L34</f>
        <v>236014.49394252899</v>
      </c>
      <c r="M46" s="5">
        <f>M12*'Forecasting Assumptions'!M34</f>
        <v>244651.94182353388</v>
      </c>
      <c r="N46" s="5">
        <f>N12*'Forecasting Assumptions'!N34</f>
        <v>253201.99650648262</v>
      </c>
      <c r="O46" s="5">
        <f>O12*'Forecasting Assumptions'!O34</f>
        <v>261633.25683679461</v>
      </c>
      <c r="P46" s="5">
        <f>P12*'Forecasting Assumptions'!P34</f>
        <v>269913.76024281362</v>
      </c>
      <c r="Q46" s="5">
        <f>Q12*'Forecasting Assumptions'!Q34</f>
        <v>278011.173050098</v>
      </c>
      <c r="R46" s="5">
        <f>R12*'Forecasting Assumptions'!R34</f>
        <v>286351.50824160094</v>
      </c>
      <c r="S46" s="124"/>
    </row>
    <row r="47" spans="1:19">
      <c r="A47" s="231" t="s">
        <v>438</v>
      </c>
      <c r="B47" s="111">
        <f t="shared" si="22"/>
        <v>641635</v>
      </c>
      <c r="C47" s="111">
        <f t="shared" si="22"/>
        <v>732178</v>
      </c>
      <c r="D47" s="111">
        <f t="shared" si="22"/>
        <v>798508.00000000012</v>
      </c>
      <c r="E47" s="111">
        <f t="shared" si="22"/>
        <v>812000</v>
      </c>
      <c r="F47" s="111">
        <f t="shared" si="22"/>
        <v>1002000</v>
      </c>
      <c r="G47" s="129">
        <f>G12*'Forecasting Assumptions'!G35</f>
        <v>1048585.7550796266</v>
      </c>
      <c r="H47" s="122">
        <f>H12*'Forecasting Assumptions'!H35</f>
        <v>1095608.0026138397</v>
      </c>
      <c r="I47" s="122">
        <f>I12*'Forecasting Assumptions'!I35</f>
        <v>1142931.9309273651</v>
      </c>
      <c r="J47" s="122">
        <f>J12*'Forecasting Assumptions'!J35</f>
        <v>1190414.9679113072</v>
      </c>
      <c r="K47" s="122">
        <f>K12*'Forecasting Assumptions'!K35</f>
        <v>1237907.3607826729</v>
      </c>
      <c r="L47" s="122">
        <f>L12*'Forecasting Assumptions'!L35</f>
        <v>1285252.8420131197</v>
      </c>
      <c r="M47" s="5">
        <f>M12*'Forecasting Assumptions'!M35</f>
        <v>1332289.3788433746</v>
      </c>
      <c r="N47" s="5">
        <f>N12*'Forecasting Assumptions'!N35</f>
        <v>1378850.0027146498</v>
      </c>
      <c r="O47" s="5">
        <f>O12*'Forecasting Assumptions'!O35</f>
        <v>1424763.7138612401</v>
      </c>
      <c r="P47" s="5">
        <f>P12*'Forecasting Assumptions'!P35</f>
        <v>1469856.4552353218</v>
      </c>
      <c r="Q47" s="5">
        <f>Q12*'Forecasting Assumptions'!Q35</f>
        <v>1513952.1488923815</v>
      </c>
      <c r="R47" s="5">
        <f>R12*'Forecasting Assumptions'!R35</f>
        <v>1559370.7133591527</v>
      </c>
      <c r="S47" s="124"/>
    </row>
    <row r="48" spans="1:19">
      <c r="A48" s="231" t="s">
        <v>439</v>
      </c>
      <c r="B48" s="43">
        <f>SUM(B44:B47)</f>
        <v>1746455</v>
      </c>
      <c r="C48" s="43">
        <f>SUM(C44:C47)</f>
        <v>1918658</v>
      </c>
      <c r="D48" s="43">
        <f>SUM(D44:D47)</f>
        <v>1771448</v>
      </c>
      <c r="E48" s="43">
        <f>SUM(E44:E47)</f>
        <v>1815000</v>
      </c>
      <c r="F48" s="43">
        <f>SUM(F44:F47)</f>
        <v>2390000</v>
      </c>
      <c r="G48" s="5">
        <f t="shared" ref="G48:L48" si="23">G44+G45+G46+G47</f>
        <v>2501117.7192019038</v>
      </c>
      <c r="H48" s="5">
        <f t="shared" si="23"/>
        <v>2613276.5731008751</v>
      </c>
      <c r="I48" s="5">
        <f t="shared" si="23"/>
        <v>2726155.0049065896</v>
      </c>
      <c r="J48" s="5">
        <f t="shared" si="23"/>
        <v>2839412.9474131982</v>
      </c>
      <c r="K48" s="5">
        <f t="shared" si="23"/>
        <v>2952693.2058588704</v>
      </c>
      <c r="L48" s="5">
        <f t="shared" si="23"/>
        <v>3065623.0463187187</v>
      </c>
      <c r="M48" s="5">
        <f t="shared" ref="M48:R48" si="24">M44+M45+M46+M47</f>
        <v>3177815.9834687281</v>
      </c>
      <c r="N48" s="5">
        <f t="shared" si="24"/>
        <v>3288873.758970073</v>
      </c>
      <c r="O48" s="5">
        <f t="shared" si="24"/>
        <v>3398388.4991301037</v>
      </c>
      <c r="P48" s="5">
        <f t="shared" si="24"/>
        <v>3505945.0379365459</v>
      </c>
      <c r="Q48" s="5">
        <f t="shared" si="24"/>
        <v>3611123.3890746422</v>
      </c>
      <c r="R48" s="5">
        <f t="shared" si="24"/>
        <v>3719457.0907468814</v>
      </c>
      <c r="S48" s="124"/>
    </row>
    <row r="49" spans="1:19">
      <c r="A49" s="231" t="s">
        <v>440</v>
      </c>
      <c r="B49" s="111">
        <f t="shared" ref="B49:F51" si="25">B109</f>
        <v>1046104</v>
      </c>
      <c r="C49" s="111">
        <f t="shared" si="25"/>
        <v>1040057</v>
      </c>
      <c r="D49" s="111">
        <f t="shared" si="25"/>
        <v>2051875</v>
      </c>
      <c r="E49" s="111">
        <f t="shared" si="25"/>
        <v>2053000</v>
      </c>
      <c r="F49" s="111">
        <f t="shared" si="25"/>
        <v>2052000</v>
      </c>
      <c r="G49" s="129">
        <f>G42*'Forecasting Assumptions'!G46</f>
        <v>2147403.1630971995</v>
      </c>
      <c r="H49" s="122">
        <f>H42*'Forecasting Assumptions'!H46</f>
        <v>2243700.2209217558</v>
      </c>
      <c r="I49" s="122">
        <f>I42*'Forecasting Assumptions'!I46</f>
        <v>2340615.0920787957</v>
      </c>
      <c r="J49" s="122">
        <f>J42*'Forecasting Assumptions'!J46</f>
        <v>2437855.8025489044</v>
      </c>
      <c r="K49" s="122">
        <f>K42*'Forecasting Assumptions'!K46</f>
        <v>2535115.6729800845</v>
      </c>
      <c r="L49" s="122">
        <f>L42*'Forecasting Assumptions'!L46</f>
        <v>2632074.68244603</v>
      </c>
      <c r="M49" s="5">
        <f>M42*'Forecasting Assumptions'!M46</f>
        <v>2728401.0033798441</v>
      </c>
      <c r="N49" s="5">
        <f>N42*'Forecasting Assumptions'!N46</f>
        <v>2823752.7001701202</v>
      </c>
      <c r="O49" s="5">
        <f>O42*'Forecasting Assumptions'!O46</f>
        <v>2917779.5816799053</v>
      </c>
      <c r="P49" s="5">
        <f>P42*'Forecasting Assumptions'!P46</f>
        <v>3010125.1957513778</v>
      </c>
      <c r="Q49" s="5">
        <f>Q42*'Forecasting Assumptions'!Q46</f>
        <v>3100428.9516239185</v>
      </c>
      <c r="R49" s="5">
        <f>R42*'Forecasting Assumptions'!R46</f>
        <v>3193441.8201726358</v>
      </c>
      <c r="S49" s="124"/>
    </row>
    <row r="50" spans="1:19">
      <c r="A50" s="231" t="s">
        <v>395</v>
      </c>
      <c r="B50" s="111">
        <f t="shared" si="25"/>
        <v>185339.99999999991</v>
      </c>
      <c r="C50" s="111">
        <f t="shared" si="25"/>
        <v>235536.9999999998</v>
      </c>
      <c r="D50" s="111">
        <f t="shared" si="25"/>
        <v>372705.00000000017</v>
      </c>
      <c r="E50" s="111">
        <f t="shared" si="25"/>
        <v>407000</v>
      </c>
      <c r="F50" s="111">
        <f t="shared" si="25"/>
        <v>488000</v>
      </c>
      <c r="G50" s="129">
        <f>G12*'Forecasting Assumptions'!G42</f>
        <v>510688.47153578617</v>
      </c>
      <c r="H50" s="122">
        <f>H12*'Forecasting Assumptions'!H42</f>
        <v>533589.52622310759</v>
      </c>
      <c r="I50" s="122">
        <f>I12*'Forecasting Assumptions'!I42</f>
        <v>556637.50727799814</v>
      </c>
      <c r="J50" s="122">
        <f>J12*'Forecasting Assumptions'!J42</f>
        <v>579762.97838395007</v>
      </c>
      <c r="K50" s="122">
        <f>K12*'Forecasting Assumptions'!K42</f>
        <v>602893.00604984467</v>
      </c>
      <c r="L50" s="122">
        <f>L12*'Forecasting Assumptions'!L42</f>
        <v>625951.48393453332</v>
      </c>
      <c r="M50" s="5">
        <f>M12*'Forecasting Assumptions'!M42</f>
        <v>648859.49787980714</v>
      </c>
      <c r="N50" s="5">
        <f>N12*'Forecasting Assumptions'!N42</f>
        <v>671535.72986501898</v>
      </c>
      <c r="O50" s="5">
        <f>O12*'Forecasting Assumptions'!O42</f>
        <v>693896.89856715081</v>
      </c>
      <c r="P50" s="5">
        <f>P12*'Forecasting Assumptions'!P42</f>
        <v>715858.23368746205</v>
      </c>
      <c r="Q50" s="5">
        <f>Q12*'Forecasting Assumptions'!Q42</f>
        <v>737333.98069808597</v>
      </c>
      <c r="R50" s="5">
        <f>R12*'Forecasting Assumptions'!R42</f>
        <v>759454.0001190285</v>
      </c>
      <c r="S50" s="124"/>
    </row>
    <row r="51" spans="1:19">
      <c r="A51" s="231" t="s">
        <v>396</v>
      </c>
      <c r="B51" s="111">
        <f t="shared" si="25"/>
        <v>217801</v>
      </c>
      <c r="C51" s="111">
        <f t="shared" si="25"/>
        <v>243530</v>
      </c>
      <c r="D51" s="111">
        <f t="shared" si="25"/>
        <v>262451</v>
      </c>
      <c r="E51" s="111">
        <f t="shared" si="25"/>
        <v>320000</v>
      </c>
      <c r="F51" s="111">
        <f t="shared" si="25"/>
        <v>377000</v>
      </c>
      <c r="G51" s="129">
        <f>G12*'Forecasting Assumptions'!G43</f>
        <v>394527.77411678567</v>
      </c>
      <c r="H51" s="122">
        <f>H12*'Forecasting Assumptions'!H43</f>
        <v>412219.77743055654</v>
      </c>
      <c r="I51" s="122">
        <f>I12*'Forecasting Assumptions'!I43</f>
        <v>430025.287384847</v>
      </c>
      <c r="J51" s="122">
        <f>J12*'Forecasting Assumptions'!J43</f>
        <v>447890.66157940403</v>
      </c>
      <c r="K51" s="122">
        <f>K12*'Forecasting Assumptions'!K43</f>
        <v>465759.55590326118</v>
      </c>
      <c r="L51" s="122">
        <f>L12*'Forecasting Assumptions'!L43</f>
        <v>483573.17508876865</v>
      </c>
      <c r="M51" s="5">
        <f>M12*'Forecasting Assumptions'!M43</f>
        <v>501270.5547145232</v>
      </c>
      <c r="N51" s="5">
        <f>N12*'Forecasting Assumptions'!N43</f>
        <v>518788.87327686924</v>
      </c>
      <c r="O51" s="5">
        <f>O12*'Forecasting Assumptions'!O43</f>
        <v>536063.79254060634</v>
      </c>
      <c r="P51" s="5">
        <f>P12*'Forecasting Assumptions'!P43</f>
        <v>553029.8239757648</v>
      </c>
      <c r="Q51" s="5">
        <f>Q12*'Forecasting Assumptions'!Q43</f>
        <v>569620.71869503777</v>
      </c>
      <c r="R51" s="5">
        <f>R12*'Forecasting Assumptions'!R43</f>
        <v>586709.34025588888</v>
      </c>
      <c r="S51" s="124"/>
    </row>
    <row r="52" spans="1:19">
      <c r="A52" s="231" t="s">
        <v>330</v>
      </c>
      <c r="B52" s="43">
        <f t="shared" ref="B52:G52" si="26">SUM(B48:B51)</f>
        <v>3195700</v>
      </c>
      <c r="C52" s="43">
        <f t="shared" si="26"/>
        <v>3437782</v>
      </c>
      <c r="D52" s="43">
        <f t="shared" si="26"/>
        <v>4458479</v>
      </c>
      <c r="E52" s="43">
        <f t="shared" si="26"/>
        <v>4595000</v>
      </c>
      <c r="F52" s="43">
        <f t="shared" si="26"/>
        <v>5307000</v>
      </c>
      <c r="G52" s="5">
        <f t="shared" si="26"/>
        <v>5553737.1279516742</v>
      </c>
      <c r="H52" s="5">
        <f t="shared" ref="H52:R52" si="27">SUM(H48:H51)</f>
        <v>5802786.0976762949</v>
      </c>
      <c r="I52" s="5">
        <f t="shared" si="27"/>
        <v>6053432.8916482301</v>
      </c>
      <c r="J52" s="5">
        <f t="shared" si="27"/>
        <v>6304922.3899254566</v>
      </c>
      <c r="K52" s="5">
        <f t="shared" si="27"/>
        <v>6556461.4407920605</v>
      </c>
      <c r="L52" s="5">
        <f t="shared" si="27"/>
        <v>6807222.3877880499</v>
      </c>
      <c r="M52" s="5">
        <f t="shared" si="27"/>
        <v>7056347.0394429024</v>
      </c>
      <c r="N52" s="5">
        <f t="shared" si="27"/>
        <v>7302951.0622820808</v>
      </c>
      <c r="O52" s="5">
        <f t="shared" si="27"/>
        <v>7546128.771917766</v>
      </c>
      <c r="P52" s="5">
        <f t="shared" si="27"/>
        <v>7784958.2913511517</v>
      </c>
      <c r="Q52" s="5">
        <f t="shared" si="27"/>
        <v>8018507.040091685</v>
      </c>
      <c r="R52" s="5">
        <f t="shared" si="27"/>
        <v>8259062.251294435</v>
      </c>
      <c r="S52" s="124"/>
    </row>
    <row r="53" spans="1:19">
      <c r="A53" s="231" t="s">
        <v>394</v>
      </c>
      <c r="B53" s="111">
        <f>B112</f>
        <v>0</v>
      </c>
      <c r="C53" s="111">
        <f>C112</f>
        <v>0</v>
      </c>
      <c r="D53" s="111">
        <f>D112</f>
        <v>0</v>
      </c>
      <c r="E53" s="111">
        <f>E112</f>
        <v>0</v>
      </c>
      <c r="F53" s="111">
        <f>F112</f>
        <v>0</v>
      </c>
      <c r="G53" s="129">
        <f>G42*'Forecasting Assumptions'!G47</f>
        <v>0</v>
      </c>
      <c r="H53" s="5">
        <f>H42*'Forecasting Assumptions'!H47</f>
        <v>0</v>
      </c>
      <c r="I53" s="5">
        <f>I42*'Forecasting Assumptions'!I47</f>
        <v>0</v>
      </c>
      <c r="J53" s="5">
        <f>J42*'Forecasting Assumptions'!J47</f>
        <v>0</v>
      </c>
      <c r="K53" s="5">
        <f>K42*'Forecasting Assumptions'!K47</f>
        <v>0</v>
      </c>
      <c r="L53" s="5">
        <f>L42*'Forecasting Assumptions'!L47</f>
        <v>0</v>
      </c>
      <c r="M53" s="5">
        <f>M42*'Forecasting Assumptions'!M47</f>
        <v>0</v>
      </c>
      <c r="N53" s="5">
        <f>N42*'Forecasting Assumptions'!N47</f>
        <v>0</v>
      </c>
      <c r="O53" s="5">
        <f>O42*'Forecasting Assumptions'!O47</f>
        <v>0</v>
      </c>
      <c r="P53" s="5">
        <f>P42*'Forecasting Assumptions'!P47</f>
        <v>0</v>
      </c>
      <c r="Q53" s="5">
        <f>Q42*'Forecasting Assumptions'!Q47</f>
        <v>0</v>
      </c>
      <c r="R53" s="5">
        <f>R42*'Forecasting Assumptions'!R47</f>
        <v>0</v>
      </c>
      <c r="S53" s="124"/>
    </row>
    <row r="54" spans="1:19">
      <c r="A54" s="231" t="s">
        <v>437</v>
      </c>
      <c r="B54" s="111">
        <f t="shared" ref="B54:F56" si="28">B113</f>
        <v>0</v>
      </c>
      <c r="C54" s="111">
        <f t="shared" si="28"/>
        <v>0</v>
      </c>
      <c r="D54" s="111">
        <f t="shared" si="28"/>
        <v>0</v>
      </c>
      <c r="E54" s="111">
        <f t="shared" si="28"/>
        <v>0</v>
      </c>
      <c r="F54" s="111">
        <f t="shared" si="28"/>
        <v>0</v>
      </c>
      <c r="G54" s="129">
        <f>G42*'Forecasting Assumptions'!G48</f>
        <v>0</v>
      </c>
      <c r="H54" s="122">
        <f>H42*'Forecasting Assumptions'!H48</f>
        <v>0</v>
      </c>
      <c r="I54" s="122">
        <f>I42*'Forecasting Assumptions'!I48</f>
        <v>0</v>
      </c>
      <c r="J54" s="122">
        <f>J42*'Forecasting Assumptions'!J48</f>
        <v>0</v>
      </c>
      <c r="K54" s="122">
        <f>K42*'Forecasting Assumptions'!K48</f>
        <v>0</v>
      </c>
      <c r="L54" s="122">
        <f>L42*'Forecasting Assumptions'!L48</f>
        <v>0</v>
      </c>
      <c r="M54" s="5">
        <f>M42*'Forecasting Assumptions'!M48</f>
        <v>0</v>
      </c>
      <c r="N54" s="5">
        <f>N42*'Forecasting Assumptions'!N48</f>
        <v>0</v>
      </c>
      <c r="O54" s="5">
        <f>O42*'Forecasting Assumptions'!O48</f>
        <v>0</v>
      </c>
      <c r="P54" s="5">
        <f>P42*'Forecasting Assumptions'!P48</f>
        <v>0</v>
      </c>
      <c r="Q54" s="5">
        <f>Q42*'Forecasting Assumptions'!Q48</f>
        <v>0</v>
      </c>
      <c r="R54" s="5">
        <f>R42*'Forecasting Assumptions'!R48</f>
        <v>0</v>
      </c>
      <c r="S54" s="124"/>
    </row>
    <row r="55" spans="1:19">
      <c r="A55" s="231" t="s">
        <v>270</v>
      </c>
      <c r="B55" s="111">
        <f t="shared" si="28"/>
        <v>1586484.9999999998</v>
      </c>
      <c r="C55" s="111">
        <f t="shared" si="28"/>
        <v>123861.00000000079</v>
      </c>
      <c r="D55" s="111">
        <f t="shared" si="28"/>
        <v>-461782.00000000017</v>
      </c>
      <c r="E55" s="111">
        <f t="shared" si="28"/>
        <v>-663000</v>
      </c>
      <c r="F55" s="111">
        <f t="shared" si="28"/>
        <v>-550000</v>
      </c>
      <c r="G55" s="129">
        <f t="shared" ref="G55:L55" si="29">G57-G56</f>
        <v>-1231779.3037128057</v>
      </c>
      <c r="H55" s="122">
        <f t="shared" si="29"/>
        <v>-1956710.6031409372</v>
      </c>
      <c r="I55" s="122">
        <f t="shared" si="29"/>
        <v>-2726118.1873708498</v>
      </c>
      <c r="J55" s="122">
        <f t="shared" si="29"/>
        <v>-3541244.5033320859</v>
      </c>
      <c r="K55" s="122">
        <f t="shared" si="29"/>
        <v>-4403238.6459303014</v>
      </c>
      <c r="L55" s="122">
        <f t="shared" si="29"/>
        <v>-5313144.8504702616</v>
      </c>
      <c r="M55" s="5">
        <f t="shared" ref="M55:R55" si="30">M57-M56</f>
        <v>-6271891.0896454062</v>
      </c>
      <c r="N55" s="5">
        <f t="shared" si="30"/>
        <v>-7280277.8820039891</v>
      </c>
      <c r="O55" s="5">
        <f t="shared" si="30"/>
        <v>-8338967.4223763924</v>
      </c>
      <c r="P55" s="5">
        <f t="shared" si="30"/>
        <v>-9448473.1471553817</v>
      </c>
      <c r="Q55" s="5">
        <f t="shared" si="30"/>
        <v>-10609149.848465327</v>
      </c>
      <c r="R55" s="5">
        <f t="shared" si="30"/>
        <v>-11804646.850814566</v>
      </c>
      <c r="S55" s="124"/>
    </row>
    <row r="56" spans="1:19">
      <c r="A56" s="231" t="s">
        <v>479</v>
      </c>
      <c r="B56" s="111">
        <f t="shared" si="28"/>
        <v>4370853</v>
      </c>
      <c r="C56" s="111">
        <f t="shared" si="28"/>
        <v>5479534</v>
      </c>
      <c r="D56" s="111">
        <f t="shared" si="28"/>
        <v>6563385</v>
      </c>
      <c r="E56" s="111">
        <f t="shared" si="28"/>
        <v>7402000</v>
      </c>
      <c r="F56" s="111">
        <f t="shared" si="28"/>
        <v>8403000</v>
      </c>
      <c r="G56" s="129">
        <f t="shared" ref="G56:L56" si="31">G66</f>
        <v>9449887.0229147114</v>
      </c>
      <c r="H56" s="122">
        <f t="shared" si="31"/>
        <v>10543346.974923855</v>
      </c>
      <c r="I56" s="122">
        <f t="shared" si="31"/>
        <v>11683647.582153881</v>
      </c>
      <c r="J56" s="122">
        <f t="shared" si="31"/>
        <v>12870913.907531183</v>
      </c>
      <c r="K56" s="122">
        <f t="shared" si="31"/>
        <v>14105121.384679135</v>
      </c>
      <c r="L56" s="122">
        <f t="shared" si="31"/>
        <v>15386089.529441351</v>
      </c>
      <c r="M56" s="5">
        <f t="shared" ref="M56:R56" si="32">M66</f>
        <v>16713476.411059596</v>
      </c>
      <c r="N56" s="5">
        <f t="shared" si="32"/>
        <v>18086773.961163811</v>
      </c>
      <c r="O56" s="5">
        <f t="shared" si="32"/>
        <v>19505304.193785895</v>
      </c>
      <c r="P56" s="5">
        <f t="shared" si="32"/>
        <v>20968216.403605465</v>
      </c>
      <c r="Q56" s="5">
        <f t="shared" si="32"/>
        <v>22474485.402608909</v>
      </c>
      <c r="R56" s="5">
        <f t="shared" si="32"/>
        <v>24025942.471582457</v>
      </c>
      <c r="S56" s="124"/>
    </row>
    <row r="57" spans="1:19">
      <c r="A57" s="231" t="s">
        <v>480</v>
      </c>
      <c r="B57" s="43">
        <f>SUM(B55:B56)</f>
        <v>5957338</v>
      </c>
      <c r="C57" s="43">
        <f>SUM(C55:C56)</f>
        <v>5603395.0000000009</v>
      </c>
      <c r="D57" s="43">
        <f>SUM(D55:D56)</f>
        <v>6101603</v>
      </c>
      <c r="E57" s="43">
        <f>SUM(E55:E56)</f>
        <v>6739000</v>
      </c>
      <c r="F57" s="43">
        <f>SUM(F55:F56)</f>
        <v>7853000</v>
      </c>
      <c r="G57" s="5">
        <f>G58-G52-G53-G54</f>
        <v>8218107.7192019057</v>
      </c>
      <c r="H57" s="5">
        <f t="shared" ref="H57:R57" si="33">H58-H52-H53-H54</f>
        <v>8586636.3717829175</v>
      </c>
      <c r="I57" s="5">
        <f t="shared" si="33"/>
        <v>8957529.3947830312</v>
      </c>
      <c r="J57" s="5">
        <f t="shared" si="33"/>
        <v>9329669.4041990973</v>
      </c>
      <c r="K57" s="5">
        <f t="shared" si="33"/>
        <v>9701882.7387488335</v>
      </c>
      <c r="L57" s="5">
        <f t="shared" si="33"/>
        <v>10072944.678971089</v>
      </c>
      <c r="M57" s="5">
        <f t="shared" si="33"/>
        <v>10441585.321414189</v>
      </c>
      <c r="N57" s="5">
        <f t="shared" si="33"/>
        <v>10806496.079159822</v>
      </c>
      <c r="O57" s="5">
        <f t="shared" si="33"/>
        <v>11166336.771409502</v>
      </c>
      <c r="P57" s="5">
        <f t="shared" si="33"/>
        <v>11519743.256450083</v>
      </c>
      <c r="Q57" s="5">
        <f t="shared" si="33"/>
        <v>11865335.554143582</v>
      </c>
      <c r="R57" s="5">
        <f t="shared" si="33"/>
        <v>12221295.620767891</v>
      </c>
      <c r="S57" s="124"/>
    </row>
    <row r="58" spans="1:19" ht="14" thickBot="1">
      <c r="A58" s="231" t="s">
        <v>481</v>
      </c>
      <c r="B58" s="55">
        <f>SUM(B52:B56)</f>
        <v>9153038</v>
      </c>
      <c r="C58" s="55">
        <f>SUM(C52:C56)</f>
        <v>9041177</v>
      </c>
      <c r="D58" s="55">
        <f>SUM(D52:D56)</f>
        <v>10560082</v>
      </c>
      <c r="E58" s="55">
        <f>SUM(E52:E56)</f>
        <v>11334000</v>
      </c>
      <c r="F58" s="55">
        <f>SUM(F52:F56)</f>
        <v>13160000</v>
      </c>
      <c r="G58" s="56">
        <f t="shared" ref="G58:L58" si="34">G42</f>
        <v>13771844.84715358</v>
      </c>
      <c r="H58" s="56">
        <f t="shared" si="34"/>
        <v>14389422.469459213</v>
      </c>
      <c r="I58" s="56">
        <f t="shared" si="34"/>
        <v>15010962.286431262</v>
      </c>
      <c r="J58" s="56">
        <f t="shared" si="34"/>
        <v>15634591.794124555</v>
      </c>
      <c r="K58" s="56">
        <f t="shared" si="34"/>
        <v>16258344.179540893</v>
      </c>
      <c r="L58" s="56">
        <f t="shared" si="34"/>
        <v>16880167.066759139</v>
      </c>
      <c r="M58" s="56">
        <f t="shared" ref="M58:R58" si="35">M42</f>
        <v>17497932.360857092</v>
      </c>
      <c r="N58" s="56">
        <f t="shared" si="35"/>
        <v>18109447.141441904</v>
      </c>
      <c r="O58" s="56">
        <f t="shared" si="35"/>
        <v>18712465.543327268</v>
      </c>
      <c r="P58" s="56">
        <f t="shared" si="35"/>
        <v>19304701.547801234</v>
      </c>
      <c r="Q58" s="56">
        <f t="shared" si="35"/>
        <v>19883842.594235267</v>
      </c>
      <c r="R58" s="56">
        <f t="shared" si="35"/>
        <v>20480357.872062325</v>
      </c>
      <c r="S58" s="124"/>
    </row>
    <row r="59" spans="1:19" ht="14" thickTop="1">
      <c r="A59" s="232"/>
      <c r="B59" s="80" t="str">
        <f>IF(B58=B42," ","Error! A =L+E?")</f>
        <v xml:space="preserve"> </v>
      </c>
      <c r="C59" s="80" t="str">
        <f>IF(C58=C42," ","Error! A =L+E?")</f>
        <v xml:space="preserve"> </v>
      </c>
      <c r="D59" s="80" t="str">
        <f>IF(D58=D42," ","Error! A =L+E?")</f>
        <v xml:space="preserve"> </v>
      </c>
      <c r="E59" s="80" t="str">
        <f>IF(E58=E42," ","Error! A =L+E?")</f>
        <v xml:space="preserve"> </v>
      </c>
      <c r="F59" s="80" t="str">
        <f>IF(F58=F42," ","Error! A =L+E?")</f>
        <v xml:space="preserve"> </v>
      </c>
      <c r="G59" s="80" t="str">
        <f t="shared" ref="G59:R59" si="36">IF(G58=G42," ","Error! A =L+E?")</f>
        <v xml:space="preserve"> </v>
      </c>
      <c r="H59" s="80" t="str">
        <f t="shared" si="36"/>
        <v xml:space="preserve"> </v>
      </c>
      <c r="I59" s="80" t="str">
        <f t="shared" si="36"/>
        <v xml:space="preserve"> </v>
      </c>
      <c r="J59" s="80" t="str">
        <f t="shared" si="36"/>
        <v xml:space="preserve"> </v>
      </c>
      <c r="K59" s="80" t="str">
        <f t="shared" si="36"/>
        <v xml:space="preserve"> </v>
      </c>
      <c r="L59" s="80" t="str">
        <f t="shared" si="36"/>
        <v xml:space="preserve"> </v>
      </c>
      <c r="M59" s="80" t="str">
        <f t="shared" si="36"/>
        <v xml:space="preserve"> </v>
      </c>
      <c r="N59" s="80" t="str">
        <f t="shared" si="36"/>
        <v xml:space="preserve"> </v>
      </c>
      <c r="O59" s="80" t="str">
        <f t="shared" si="36"/>
        <v xml:space="preserve"> </v>
      </c>
      <c r="P59" s="80" t="str">
        <f t="shared" si="36"/>
        <v xml:space="preserve"> </v>
      </c>
      <c r="Q59" s="80" t="str">
        <f t="shared" si="36"/>
        <v xml:space="preserve"> </v>
      </c>
      <c r="R59" s="80" t="str">
        <f t="shared" si="36"/>
        <v xml:space="preserve"> </v>
      </c>
      <c r="S59" s="124"/>
    </row>
    <row r="60" spans="1:19">
      <c r="A60" s="6" t="s">
        <v>413</v>
      </c>
      <c r="B60" s="46"/>
      <c r="C60" s="46"/>
      <c r="D60" s="46"/>
      <c r="E60" s="43"/>
      <c r="F60" s="43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S60" s="124"/>
    </row>
    <row r="61" spans="1:19">
      <c r="A61" s="6"/>
      <c r="B61" s="46"/>
      <c r="C61" s="46"/>
      <c r="D61" s="46"/>
      <c r="E61" s="43"/>
      <c r="F61" s="43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S61" s="124"/>
    </row>
    <row r="62" spans="1:19">
      <c r="A62" s="231" t="s">
        <v>382</v>
      </c>
      <c r="B62" s="43"/>
      <c r="C62" s="43">
        <f>B56</f>
        <v>4370853</v>
      </c>
      <c r="D62" s="43">
        <f>C56</f>
        <v>5479534</v>
      </c>
      <c r="E62" s="43">
        <f>D56</f>
        <v>6563385</v>
      </c>
      <c r="F62" s="43">
        <f>E56</f>
        <v>7402000</v>
      </c>
      <c r="G62" s="5">
        <f t="shared" ref="G62:L62" si="37">F56</f>
        <v>8403000</v>
      </c>
      <c r="H62" s="5">
        <f t="shared" si="37"/>
        <v>9449887.0229147114</v>
      </c>
      <c r="I62" s="5">
        <f t="shared" si="37"/>
        <v>10543346.974923855</v>
      </c>
      <c r="J62" s="5">
        <f t="shared" si="37"/>
        <v>11683647.582153881</v>
      </c>
      <c r="K62" s="5">
        <f t="shared" si="37"/>
        <v>12870913.907531183</v>
      </c>
      <c r="L62" s="5">
        <f t="shared" si="37"/>
        <v>14105121.384679135</v>
      </c>
      <c r="M62" s="5">
        <f t="shared" ref="M62:R62" si="38">L56</f>
        <v>15386089.529441351</v>
      </c>
      <c r="N62" s="5">
        <f t="shared" si="38"/>
        <v>16713476.411059596</v>
      </c>
      <c r="O62" s="5">
        <f t="shared" si="38"/>
        <v>18086773.961163811</v>
      </c>
      <c r="P62" s="5">
        <f t="shared" si="38"/>
        <v>19505304.193785895</v>
      </c>
      <c r="Q62" s="5">
        <f t="shared" si="38"/>
        <v>20968216.403605465</v>
      </c>
      <c r="R62" s="5">
        <f t="shared" si="38"/>
        <v>22474485.402608909</v>
      </c>
      <c r="S62" s="124"/>
    </row>
    <row r="63" spans="1:19">
      <c r="A63" s="233" t="s">
        <v>277</v>
      </c>
      <c r="B63" s="43"/>
      <c r="C63" s="43">
        <f>C29</f>
        <v>1108681</v>
      </c>
      <c r="D63" s="43">
        <f>D29</f>
        <v>1083851</v>
      </c>
      <c r="E63" s="43">
        <f>E29</f>
        <v>885000</v>
      </c>
      <c r="F63" s="43">
        <f>F29</f>
        <v>991000</v>
      </c>
      <c r="G63" s="5">
        <f t="shared" ref="G63:L63" si="39">G29</f>
        <v>1046887.0229147106</v>
      </c>
      <c r="H63" s="5">
        <f t="shared" si="39"/>
        <v>1093459.9520091428</v>
      </c>
      <c r="I63" s="5">
        <f t="shared" si="39"/>
        <v>1140300.6072300265</v>
      </c>
      <c r="J63" s="5">
        <f t="shared" si="39"/>
        <v>1187266.3253773018</v>
      </c>
      <c r="K63" s="5">
        <f t="shared" si="39"/>
        <v>1234207.4771479508</v>
      </c>
      <c r="L63" s="5">
        <f t="shared" si="39"/>
        <v>1280968.1447622164</v>
      </c>
      <c r="M63" s="5">
        <f t="shared" ref="M63:R63" si="40">M29</f>
        <v>1327386.8816182446</v>
      </c>
      <c r="N63" s="5">
        <f t="shared" si="40"/>
        <v>1373297.5501042148</v>
      </c>
      <c r="O63" s="5">
        <f t="shared" si="40"/>
        <v>1418530.2326220849</v>
      </c>
      <c r="P63" s="5">
        <f t="shared" si="40"/>
        <v>1462912.2098195716</v>
      </c>
      <c r="Q63" s="5">
        <f t="shared" si="40"/>
        <v>1506268.9990034457</v>
      </c>
      <c r="R63" s="5">
        <f t="shared" si="40"/>
        <v>1551457.0689735492</v>
      </c>
      <c r="S63" s="124"/>
    </row>
    <row r="64" spans="1:19">
      <c r="A64" s="233" t="s">
        <v>522</v>
      </c>
      <c r="B64" s="111">
        <f>-B116</f>
        <v>0</v>
      </c>
      <c r="C64" s="111">
        <f>-C116</f>
        <v>0</v>
      </c>
      <c r="D64" s="111">
        <f>-D116</f>
        <v>0</v>
      </c>
      <c r="E64" s="111">
        <f>-E116</f>
        <v>0</v>
      </c>
      <c r="F64" s="111">
        <f>-F116</f>
        <v>0</v>
      </c>
      <c r="G64" s="129">
        <f>-G29*'Forecasting Assumptions'!G49</f>
        <v>0</v>
      </c>
      <c r="H64" s="122">
        <f>-H29*'Forecasting Assumptions'!H49</f>
        <v>0</v>
      </c>
      <c r="I64" s="122">
        <f>-I29*'Forecasting Assumptions'!I49</f>
        <v>0</v>
      </c>
      <c r="J64" s="122">
        <f>-J29*'Forecasting Assumptions'!J49</f>
        <v>0</v>
      </c>
      <c r="K64" s="122">
        <f>-K29*'Forecasting Assumptions'!K49</f>
        <v>0</v>
      </c>
      <c r="L64" s="122">
        <f>-L29*'Forecasting Assumptions'!L49</f>
        <v>0</v>
      </c>
      <c r="M64" s="5">
        <f>-M29*'Forecasting Assumptions'!M49</f>
        <v>0</v>
      </c>
      <c r="N64" s="5">
        <f>-N29*'Forecasting Assumptions'!N49</f>
        <v>0</v>
      </c>
      <c r="O64" s="5">
        <f>-O29*'Forecasting Assumptions'!O49</f>
        <v>0</v>
      </c>
      <c r="P64" s="5">
        <f>-P29*'Forecasting Assumptions'!P49</f>
        <v>0</v>
      </c>
      <c r="Q64" s="5">
        <f>-Q29*'Forecasting Assumptions'!Q49</f>
        <v>0</v>
      </c>
      <c r="R64" s="5">
        <f>-R29*'Forecasting Assumptions'!R49</f>
        <v>0</v>
      </c>
      <c r="S64" s="124"/>
    </row>
    <row r="65" spans="1:19">
      <c r="A65" s="233" t="s">
        <v>523</v>
      </c>
      <c r="B65" s="43"/>
      <c r="C65" s="43">
        <f>C66-C62-C63-C64</f>
        <v>0</v>
      </c>
      <c r="D65" s="43">
        <f>D66-D62-D63-D64</f>
        <v>0</v>
      </c>
      <c r="E65" s="43">
        <f>E66-E62-E63-E64</f>
        <v>-46385</v>
      </c>
      <c r="F65" s="43">
        <f>F66-F62-F63-F64</f>
        <v>10000</v>
      </c>
      <c r="G65" s="133">
        <v>0</v>
      </c>
      <c r="H65" s="133">
        <v>0</v>
      </c>
      <c r="I65" s="133">
        <v>0</v>
      </c>
      <c r="J65" s="133">
        <v>0</v>
      </c>
      <c r="K65" s="133">
        <v>0</v>
      </c>
      <c r="L65" s="133">
        <v>0</v>
      </c>
      <c r="M65" s="133">
        <v>0</v>
      </c>
      <c r="N65" s="133">
        <v>0</v>
      </c>
      <c r="O65" s="133">
        <v>0</v>
      </c>
      <c r="P65" s="133">
        <v>0</v>
      </c>
      <c r="Q65" s="133">
        <v>0</v>
      </c>
      <c r="R65" s="133">
        <v>0</v>
      </c>
      <c r="S65" s="124"/>
    </row>
    <row r="66" spans="1:19" ht="13.5" customHeight="1" thickBot="1">
      <c r="A66" s="233" t="s">
        <v>526</v>
      </c>
      <c r="B66" s="55"/>
      <c r="C66" s="55">
        <f>C56</f>
        <v>5479534</v>
      </c>
      <c r="D66" s="55">
        <f>D56</f>
        <v>6563385</v>
      </c>
      <c r="E66" s="55">
        <f>E56</f>
        <v>7402000</v>
      </c>
      <c r="F66" s="55">
        <f>F56</f>
        <v>8403000</v>
      </c>
      <c r="G66" s="134">
        <f>G62+G63+G64+G65</f>
        <v>9449887.0229147114</v>
      </c>
      <c r="H66" s="134">
        <f t="shared" ref="H66:Q66" si="41">H62+H63+H64+H65</f>
        <v>10543346.974923855</v>
      </c>
      <c r="I66" s="134">
        <f t="shared" si="41"/>
        <v>11683647.582153881</v>
      </c>
      <c r="J66" s="134">
        <f t="shared" si="41"/>
        <v>12870913.907531183</v>
      </c>
      <c r="K66" s="134">
        <f t="shared" si="41"/>
        <v>14105121.384679135</v>
      </c>
      <c r="L66" s="134">
        <f t="shared" si="41"/>
        <v>15386089.529441351</v>
      </c>
      <c r="M66" s="134">
        <f t="shared" si="41"/>
        <v>16713476.411059596</v>
      </c>
      <c r="N66" s="134">
        <f t="shared" si="41"/>
        <v>18086773.961163811</v>
      </c>
      <c r="O66" s="134">
        <f t="shared" si="41"/>
        <v>19505304.193785895</v>
      </c>
      <c r="P66" s="134">
        <f t="shared" si="41"/>
        <v>20968216.403605465</v>
      </c>
      <c r="Q66" s="134">
        <f t="shared" si="41"/>
        <v>22474485.402608909</v>
      </c>
      <c r="R66" s="134">
        <f>R62+R63+R64+R65</f>
        <v>24025942.471582457</v>
      </c>
      <c r="S66" s="124"/>
    </row>
    <row r="67" spans="1:19" ht="14" thickTop="1">
      <c r="A67" s="77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</row>
    <row r="69" spans="1:19">
      <c r="A69" s="6" t="s">
        <v>197</v>
      </c>
    </row>
    <row r="70" spans="1:19">
      <c r="A70" s="6"/>
    </row>
    <row r="71" spans="1:19">
      <c r="A71" s="7" t="s">
        <v>331</v>
      </c>
      <c r="B71" s="43">
        <f t="shared" ref="B71:R71" si="42">B73-B72</f>
        <v>891623.99711693497</v>
      </c>
      <c r="C71" s="43">
        <f t="shared" si="42"/>
        <v>1155183.3152518112</v>
      </c>
      <c r="D71" s="43">
        <f t="shared" si="42"/>
        <v>1145266.2431585346</v>
      </c>
      <c r="E71" s="43">
        <f t="shared" si="42"/>
        <v>971947.36842105258</v>
      </c>
      <c r="F71" s="43">
        <f t="shared" si="42"/>
        <v>1074623.4256926952</v>
      </c>
      <c r="G71" s="5">
        <f t="shared" si="42"/>
        <v>1132413.0340649369</v>
      </c>
      <c r="H71" s="5">
        <f t="shared" si="42"/>
        <v>1182890.1739710702</v>
      </c>
      <c r="I71" s="5">
        <f t="shared" si="42"/>
        <v>1233665.8277978627</v>
      </c>
      <c r="J71" s="5">
        <f t="shared" si="42"/>
        <v>1284585.7631979713</v>
      </c>
      <c r="K71" s="5">
        <f t="shared" si="42"/>
        <v>1335488.1585560592</v>
      </c>
      <c r="L71" s="5">
        <f t="shared" si="42"/>
        <v>1386204.3325702902</v>
      </c>
      <c r="M71" s="5">
        <f t="shared" si="42"/>
        <v>1436559.5629424001</v>
      </c>
      <c r="N71" s="5">
        <f t="shared" si="42"/>
        <v>1486373.9900446383</v>
      </c>
      <c r="O71" s="5">
        <f t="shared" si="42"/>
        <v>1535463.6002663395</v>
      </c>
      <c r="P71" s="5">
        <f t="shared" si="42"/>
        <v>1583641.2825952719</v>
      </c>
      <c r="Q71" s="5">
        <f t="shared" si="42"/>
        <v>1630717.9508771303</v>
      </c>
      <c r="R71" s="5">
        <f t="shared" si="42"/>
        <v>1679639.4894034441</v>
      </c>
    </row>
    <row r="72" spans="1:19">
      <c r="A72" s="51" t="s">
        <v>313</v>
      </c>
      <c r="B72" s="43">
        <f t="shared" ref="B72:R72" si="43">B20*(1-B74)+B28+B27</f>
        <v>-49663.997116935032</v>
      </c>
      <c r="C72" s="43">
        <f t="shared" si="43"/>
        <v>-46502.315251811124</v>
      </c>
      <c r="D72" s="43">
        <f t="shared" si="43"/>
        <v>-61415.243158534628</v>
      </c>
      <c r="E72" s="43">
        <f t="shared" si="43"/>
        <v>-86947.368421052626</v>
      </c>
      <c r="F72" s="43">
        <f t="shared" si="43"/>
        <v>-83623.425692695222</v>
      </c>
      <c r="G72" s="5">
        <f t="shared" si="43"/>
        <v>-85526.011150226434</v>
      </c>
      <c r="H72" s="5">
        <f t="shared" si="43"/>
        <v>-89430.221961927309</v>
      </c>
      <c r="I72" s="5">
        <f t="shared" si="43"/>
        <v>-93365.22056783615</v>
      </c>
      <c r="J72" s="5">
        <f t="shared" si="43"/>
        <v>-97319.437820669584</v>
      </c>
      <c r="K72" s="5">
        <f t="shared" si="43"/>
        <v>-101280.68140810844</v>
      </c>
      <c r="L72" s="5">
        <f t="shared" si="43"/>
        <v>-105236.18780807385</v>
      </c>
      <c r="M72" s="5">
        <f t="shared" si="43"/>
        <v>-109172.68132415554</v>
      </c>
      <c r="N72" s="5">
        <f t="shared" si="43"/>
        <v>-113076.43994042354</v>
      </c>
      <c r="O72" s="5">
        <f t="shared" si="43"/>
        <v>-116933.36764425455</v>
      </c>
      <c r="P72" s="5">
        <f t="shared" si="43"/>
        <v>-120729.07277570045</v>
      </c>
      <c r="Q72" s="5">
        <f t="shared" si="43"/>
        <v>-124448.95187368452</v>
      </c>
      <c r="R72" s="5">
        <f t="shared" si="43"/>
        <v>-128182.42042989504</v>
      </c>
    </row>
    <row r="73" spans="1:19">
      <c r="A73" s="51" t="s">
        <v>314</v>
      </c>
      <c r="B73" s="43">
        <f>B29</f>
        <v>841960</v>
      </c>
      <c r="C73" s="43">
        <f t="shared" ref="C73:R73" si="44">C29</f>
        <v>1108681</v>
      </c>
      <c r="D73" s="43">
        <f t="shared" si="44"/>
        <v>1083851</v>
      </c>
      <c r="E73" s="43">
        <f t="shared" si="44"/>
        <v>885000</v>
      </c>
      <c r="F73" s="43">
        <f t="shared" si="44"/>
        <v>991000</v>
      </c>
      <c r="G73" s="5">
        <f t="shared" si="44"/>
        <v>1046887.0229147106</v>
      </c>
      <c r="H73" s="5">
        <f t="shared" si="44"/>
        <v>1093459.9520091428</v>
      </c>
      <c r="I73" s="5">
        <f t="shared" si="44"/>
        <v>1140300.6072300265</v>
      </c>
      <c r="J73" s="5">
        <f t="shared" si="44"/>
        <v>1187266.3253773018</v>
      </c>
      <c r="K73" s="5">
        <f t="shared" si="44"/>
        <v>1234207.4771479508</v>
      </c>
      <c r="L73" s="5">
        <f t="shared" si="44"/>
        <v>1280968.1447622164</v>
      </c>
      <c r="M73" s="5">
        <f t="shared" si="44"/>
        <v>1327386.8816182446</v>
      </c>
      <c r="N73" s="5">
        <f t="shared" si="44"/>
        <v>1373297.5501042148</v>
      </c>
      <c r="O73" s="5">
        <f t="shared" si="44"/>
        <v>1418530.2326220849</v>
      </c>
      <c r="P73" s="5">
        <f t="shared" si="44"/>
        <v>1462912.2098195716</v>
      </c>
      <c r="Q73" s="5">
        <f t="shared" si="44"/>
        <v>1506268.9990034457</v>
      </c>
      <c r="R73" s="5">
        <f t="shared" si="44"/>
        <v>1551457.0689735492</v>
      </c>
    </row>
    <row r="74" spans="1:19">
      <c r="A74" s="51" t="s">
        <v>356</v>
      </c>
      <c r="B74" s="235">
        <f>-B23/B22</f>
        <v>0.37437490247364003</v>
      </c>
      <c r="C74" s="235">
        <f t="shared" ref="C74:R74" si="45">-C23/C22</f>
        <v>0.37519562454739369</v>
      </c>
      <c r="D74" s="235">
        <f t="shared" si="45"/>
        <v>0.37783407125238438</v>
      </c>
      <c r="E74" s="235">
        <f t="shared" si="45"/>
        <v>0.37894736842105264</v>
      </c>
      <c r="F74" s="235">
        <f t="shared" si="45"/>
        <v>0.37594458438287154</v>
      </c>
      <c r="G74" s="238">
        <f t="shared" si="45"/>
        <v>0.37594458438287154</v>
      </c>
      <c r="H74" s="238">
        <f t="shared" si="45"/>
        <v>0.37594458438287154</v>
      </c>
      <c r="I74" s="238">
        <f t="shared" si="45"/>
        <v>0.37594458438287154</v>
      </c>
      <c r="J74" s="238">
        <f t="shared" si="45"/>
        <v>0.37594458438287154</v>
      </c>
      <c r="K74" s="238">
        <f t="shared" si="45"/>
        <v>0.37594458438287154</v>
      </c>
      <c r="L74" s="238">
        <f t="shared" si="45"/>
        <v>0.37594458438287154</v>
      </c>
      <c r="M74" s="238">
        <f t="shared" si="45"/>
        <v>0.37594458438287154</v>
      </c>
      <c r="N74" s="238">
        <f t="shared" si="45"/>
        <v>0.37594458438287154</v>
      </c>
      <c r="O74" s="238">
        <f t="shared" si="45"/>
        <v>0.37594458438287154</v>
      </c>
      <c r="P74" s="238">
        <f t="shared" si="45"/>
        <v>0.37594458438287154</v>
      </c>
      <c r="Q74" s="238">
        <f t="shared" si="45"/>
        <v>0.37594458438287154</v>
      </c>
      <c r="R74" s="238">
        <f t="shared" si="45"/>
        <v>0.37594458438287154</v>
      </c>
    </row>
    <row r="75" spans="1:19">
      <c r="A75" s="51" t="s">
        <v>315</v>
      </c>
      <c r="B75" s="43">
        <f t="shared" ref="B75:R75" si="46">B77+B76</f>
        <v>7111383</v>
      </c>
      <c r="C75" s="43">
        <f t="shared" si="46"/>
        <v>6662293.0000000009</v>
      </c>
      <c r="D75" s="43">
        <f t="shared" si="46"/>
        <v>8166179</v>
      </c>
      <c r="E75" s="43">
        <f t="shared" si="46"/>
        <v>8809000</v>
      </c>
      <c r="F75" s="43">
        <f t="shared" si="46"/>
        <v>9921000</v>
      </c>
      <c r="G75" s="5">
        <f t="shared" si="46"/>
        <v>10382254.766611755</v>
      </c>
      <c r="H75" s="5">
        <f t="shared" si="46"/>
        <v>10847831.331269365</v>
      </c>
      <c r="I75" s="5">
        <f t="shared" si="46"/>
        <v>11316394.896936515</v>
      </c>
      <c r="J75" s="5">
        <f t="shared" si="46"/>
        <v>11786533.828990098</v>
      </c>
      <c r="K75" s="5">
        <f t="shared" si="46"/>
        <v>12256765.39553383</v>
      </c>
      <c r="L75" s="5">
        <f t="shared" si="46"/>
        <v>12725542.360890383</v>
      </c>
      <c r="M75" s="5">
        <f t="shared" si="46"/>
        <v>13191260.406691732</v>
      </c>
      <c r="N75" s="5">
        <f t="shared" si="46"/>
        <v>13652266.344243549</v>
      </c>
      <c r="O75" s="5">
        <f t="shared" si="46"/>
        <v>14106867.071075216</v>
      </c>
      <c r="P75" s="5">
        <f t="shared" si="46"/>
        <v>14553339.213961706</v>
      </c>
      <c r="Q75" s="5">
        <f t="shared" si="46"/>
        <v>14989939.390380552</v>
      </c>
      <c r="R75" s="5">
        <f t="shared" si="46"/>
        <v>15439637.572091971</v>
      </c>
    </row>
    <row r="76" spans="1:19">
      <c r="A76" s="51" t="s">
        <v>191</v>
      </c>
      <c r="B76" s="43">
        <f t="shared" ref="B76:R76" si="47">B44+B49+B54+B53</f>
        <v>1154045</v>
      </c>
      <c r="C76" s="43">
        <f t="shared" si="47"/>
        <v>1058898</v>
      </c>
      <c r="D76" s="43">
        <f t="shared" si="47"/>
        <v>2064576</v>
      </c>
      <c r="E76" s="43">
        <f t="shared" si="47"/>
        <v>2070000</v>
      </c>
      <c r="F76" s="43">
        <f t="shared" si="47"/>
        <v>2068000</v>
      </c>
      <c r="G76" s="5">
        <f t="shared" si="47"/>
        <v>2164147.0474098483</v>
      </c>
      <c r="H76" s="5">
        <f t="shared" si="47"/>
        <v>2261194.9594864477</v>
      </c>
      <c r="I76" s="5">
        <f t="shared" si="47"/>
        <v>2358865.5021534842</v>
      </c>
      <c r="J76" s="5">
        <f t="shared" si="47"/>
        <v>2456864.4247910012</v>
      </c>
      <c r="K76" s="5">
        <f t="shared" si="47"/>
        <v>2554882.6567849973</v>
      </c>
      <c r="L76" s="5">
        <f t="shared" si="47"/>
        <v>2652597.6819192935</v>
      </c>
      <c r="M76" s="5">
        <f t="shared" si="47"/>
        <v>2749675.0852775429</v>
      </c>
      <c r="N76" s="5">
        <f t="shared" si="47"/>
        <v>2845770.2650837274</v>
      </c>
      <c r="O76" s="5">
        <f t="shared" si="47"/>
        <v>2940530.2996657137</v>
      </c>
      <c r="P76" s="5">
        <f t="shared" si="47"/>
        <v>3033595.9575116225</v>
      </c>
      <c r="Q76" s="5">
        <f t="shared" si="47"/>
        <v>3124603.8362369705</v>
      </c>
      <c r="R76" s="5">
        <f t="shared" si="47"/>
        <v>3218341.9513240792</v>
      </c>
    </row>
    <row r="77" spans="1:19">
      <c r="A77" s="51" t="s">
        <v>318</v>
      </c>
      <c r="B77" s="43">
        <f>B57</f>
        <v>5957338</v>
      </c>
      <c r="C77" s="43">
        <f t="shared" ref="C77:R77" si="48">C57</f>
        <v>5603395.0000000009</v>
      </c>
      <c r="D77" s="43">
        <f t="shared" si="48"/>
        <v>6101603</v>
      </c>
      <c r="E77" s="43">
        <f t="shared" si="48"/>
        <v>6739000</v>
      </c>
      <c r="F77" s="43">
        <f t="shared" si="48"/>
        <v>7853000</v>
      </c>
      <c r="G77" s="5">
        <f t="shared" si="48"/>
        <v>8218107.7192019057</v>
      </c>
      <c r="H77" s="5">
        <f t="shared" si="48"/>
        <v>8586636.3717829175</v>
      </c>
      <c r="I77" s="5">
        <f t="shared" si="48"/>
        <v>8957529.3947830312</v>
      </c>
      <c r="J77" s="5">
        <f t="shared" si="48"/>
        <v>9329669.4041990973</v>
      </c>
      <c r="K77" s="5">
        <f t="shared" si="48"/>
        <v>9701882.7387488335</v>
      </c>
      <c r="L77" s="5">
        <f t="shared" si="48"/>
        <v>10072944.678971089</v>
      </c>
      <c r="M77" s="5">
        <f t="shared" si="48"/>
        <v>10441585.321414189</v>
      </c>
      <c r="N77" s="5">
        <f t="shared" si="48"/>
        <v>10806496.079159822</v>
      </c>
      <c r="O77" s="5">
        <f t="shared" si="48"/>
        <v>11166336.771409502</v>
      </c>
      <c r="P77" s="5">
        <f t="shared" si="48"/>
        <v>11519743.256450083</v>
      </c>
      <c r="Q77" s="5">
        <f t="shared" si="48"/>
        <v>11865335.554143582</v>
      </c>
      <c r="R77" s="5">
        <f t="shared" si="48"/>
        <v>12221295.620767891</v>
      </c>
    </row>
    <row r="78" spans="1:19">
      <c r="A78" s="213"/>
      <c r="B78" s="213"/>
    </row>
    <row r="80" spans="1:19">
      <c r="A80" s="6" t="s">
        <v>317</v>
      </c>
      <c r="B80" s="6" t="s">
        <v>159</v>
      </c>
    </row>
    <row r="82" spans="1:9">
      <c r="A82" s="7" t="s">
        <v>215</v>
      </c>
      <c r="B82" s="111" t="s">
        <v>117</v>
      </c>
      <c r="C82" s="111"/>
      <c r="D82" s="111" t="s">
        <v>118</v>
      </c>
      <c r="E82" s="111"/>
      <c r="F82" s="111"/>
      <c r="G82" s="284" t="s">
        <v>73</v>
      </c>
      <c r="H82" s="285"/>
      <c r="I82" s="285"/>
    </row>
    <row r="83" spans="1:9">
      <c r="A83" s="7" t="s">
        <v>325</v>
      </c>
      <c r="B83" s="111">
        <v>307000</v>
      </c>
      <c r="C83" s="111"/>
      <c r="D83" s="111"/>
      <c r="E83" s="111"/>
      <c r="F83" s="111"/>
      <c r="G83" s="284"/>
      <c r="H83" s="285"/>
      <c r="I83" s="285"/>
    </row>
    <row r="84" spans="1:9" ht="14" thickBot="1">
      <c r="A84" s="230" t="s">
        <v>74</v>
      </c>
      <c r="B84" s="270">
        <v>37286</v>
      </c>
      <c r="C84" s="270">
        <v>37651</v>
      </c>
      <c r="D84" s="270">
        <v>38016</v>
      </c>
      <c r="E84" s="270">
        <v>38382</v>
      </c>
      <c r="F84" s="270">
        <v>38747</v>
      </c>
      <c r="G84" s="284"/>
      <c r="H84" s="285"/>
      <c r="I84" s="285"/>
    </row>
    <row r="85" spans="1:9">
      <c r="A85" s="7" t="s">
        <v>503</v>
      </c>
      <c r="B85" s="111">
        <v>13402217</v>
      </c>
      <c r="C85" s="111">
        <v>15544184</v>
      </c>
      <c r="D85" s="111">
        <v>16473734</v>
      </c>
      <c r="E85" s="111">
        <v>16389000</v>
      </c>
      <c r="F85" s="111">
        <v>17178000</v>
      </c>
      <c r="G85" s="284"/>
      <c r="H85" s="286"/>
      <c r="I85" s="286"/>
    </row>
    <row r="86" spans="1:9">
      <c r="A86" s="7" t="s">
        <v>537</v>
      </c>
      <c r="B86" s="111">
        <v>-8670484</v>
      </c>
      <c r="C86" s="111">
        <v>-9890513</v>
      </c>
      <c r="D86" s="111">
        <v>-10459549</v>
      </c>
      <c r="E86" s="111">
        <v>-10334000</v>
      </c>
      <c r="F86" s="111">
        <v>-10680000</v>
      </c>
    </row>
    <row r="87" spans="1:9">
      <c r="A87" s="7" t="s">
        <v>538</v>
      </c>
      <c r="B87" s="111">
        <v>0</v>
      </c>
      <c r="C87" s="111">
        <v>0</v>
      </c>
      <c r="D87" s="111">
        <v>0</v>
      </c>
      <c r="E87" s="111">
        <v>0</v>
      </c>
      <c r="F87" s="111">
        <v>0</v>
      </c>
      <c r="G87" s="7">
        <v>1462</v>
      </c>
    </row>
    <row r="88" spans="1:9">
      <c r="A88" s="7" t="s">
        <v>505</v>
      </c>
      <c r="B88" s="111">
        <v>-3007842</v>
      </c>
      <c r="C88" s="111">
        <v>-3451196</v>
      </c>
      <c r="D88" s="111">
        <v>-3757563</v>
      </c>
      <c r="E88" s="111">
        <v>-3978000</v>
      </c>
      <c r="F88" s="111">
        <v>-4196000</v>
      </c>
    </row>
    <row r="89" spans="1:9">
      <c r="A89" s="7" t="s">
        <v>546</v>
      </c>
      <c r="B89" s="111">
        <v>-307710</v>
      </c>
      <c r="C89" s="111">
        <v>-387674</v>
      </c>
      <c r="D89" s="111">
        <v>-452145</v>
      </c>
      <c r="E89" s="111">
        <v>-541000</v>
      </c>
      <c r="F89" s="111">
        <v>-590000</v>
      </c>
    </row>
    <row r="90" spans="1:9">
      <c r="A90" s="7" t="s">
        <v>547</v>
      </c>
      <c r="B90" s="111">
        <v>-79383</v>
      </c>
      <c r="C90" s="111">
        <v>-74427</v>
      </c>
      <c r="D90" s="111">
        <v>-98712</v>
      </c>
      <c r="E90" s="111">
        <v>-140000</v>
      </c>
      <c r="F90" s="111">
        <v>-134000</v>
      </c>
    </row>
    <row r="91" spans="1:9">
      <c r="A91" s="7" t="s">
        <v>548</v>
      </c>
      <c r="B91" s="111">
        <v>8992</v>
      </c>
      <c r="C91" s="111">
        <v>34071</v>
      </c>
      <c r="D91" s="111">
        <v>36296</v>
      </c>
      <c r="E91" s="111">
        <v>29000</v>
      </c>
      <c r="F91" s="111">
        <v>10000</v>
      </c>
    </row>
    <row r="92" spans="1:9">
      <c r="A92" s="7" t="s">
        <v>549</v>
      </c>
      <c r="B92" s="111">
        <v>-503830</v>
      </c>
      <c r="C92" s="111">
        <v>-665764</v>
      </c>
      <c r="D92" s="111">
        <v>-658210</v>
      </c>
      <c r="E92" s="111">
        <v>-540000</v>
      </c>
      <c r="F92" s="111">
        <v>-597000</v>
      </c>
    </row>
    <row r="93" spans="1:9">
      <c r="A93" s="7" t="s">
        <v>424</v>
      </c>
      <c r="B93" s="111">
        <v>0</v>
      </c>
      <c r="C93" s="111">
        <v>0</v>
      </c>
      <c r="D93" s="111">
        <v>0</v>
      </c>
      <c r="E93" s="111">
        <v>0</v>
      </c>
      <c r="F93" s="111">
        <v>0</v>
      </c>
    </row>
    <row r="94" spans="1:9">
      <c r="A94" s="7" t="s">
        <v>425</v>
      </c>
      <c r="B94" s="111">
        <v>0</v>
      </c>
      <c r="C94" s="111">
        <v>0</v>
      </c>
      <c r="D94" s="111">
        <v>0</v>
      </c>
      <c r="E94" s="111">
        <v>0</v>
      </c>
      <c r="F94" s="111">
        <v>0</v>
      </c>
    </row>
    <row r="95" spans="1:9">
      <c r="A95" s="7" t="s">
        <v>453</v>
      </c>
      <c r="B95" s="111">
        <v>0</v>
      </c>
      <c r="C95" s="111">
        <v>0</v>
      </c>
      <c r="D95" s="111">
        <v>0</v>
      </c>
      <c r="E95" s="111">
        <v>0</v>
      </c>
      <c r="F95" s="111">
        <v>0</v>
      </c>
    </row>
    <row r="96" spans="1:9">
      <c r="A96" s="7" t="s">
        <v>454</v>
      </c>
      <c r="B96" s="111">
        <v>0</v>
      </c>
      <c r="C96" s="111">
        <v>0</v>
      </c>
      <c r="D96" s="111">
        <v>0</v>
      </c>
      <c r="E96" s="111">
        <v>0</v>
      </c>
      <c r="F96" s="111">
        <v>0</v>
      </c>
    </row>
    <row r="97" spans="1:6">
      <c r="A97" s="7" t="s">
        <v>455</v>
      </c>
      <c r="B97" s="111">
        <v>286916</v>
      </c>
      <c r="C97" s="111">
        <v>620400</v>
      </c>
      <c r="D97" s="111">
        <v>663671</v>
      </c>
      <c r="E97" s="111">
        <v>676000</v>
      </c>
      <c r="F97" s="111">
        <v>2267000</v>
      </c>
    </row>
    <row r="98" spans="1:6">
      <c r="A98" s="7" t="s">
        <v>198</v>
      </c>
      <c r="B98" s="111">
        <v>1652065</v>
      </c>
      <c r="C98" s="111">
        <v>0</v>
      </c>
      <c r="D98" s="111">
        <v>0</v>
      </c>
      <c r="E98" s="111">
        <v>0</v>
      </c>
      <c r="F98" s="111">
        <v>0</v>
      </c>
    </row>
    <row r="99" spans="1:6">
      <c r="A99" s="7" t="s">
        <v>199</v>
      </c>
      <c r="B99" s="111">
        <v>2237568</v>
      </c>
      <c r="C99" s="111">
        <v>2588099</v>
      </c>
      <c r="D99" s="111">
        <v>2855733</v>
      </c>
      <c r="E99" s="111">
        <v>2799000</v>
      </c>
      <c r="F99" s="111">
        <v>2923000</v>
      </c>
    </row>
    <row r="100" spans="1:6">
      <c r="A100" s="7" t="s">
        <v>200</v>
      </c>
      <c r="B100" s="111">
        <v>89502.999999999418</v>
      </c>
      <c r="C100" s="111">
        <v>192540.99999999983</v>
      </c>
      <c r="D100" s="111">
        <v>204484.99999999991</v>
      </c>
      <c r="E100" s="111">
        <v>225000</v>
      </c>
      <c r="F100" s="111">
        <v>295000</v>
      </c>
    </row>
    <row r="101" spans="1:6">
      <c r="A101" s="7" t="s">
        <v>192</v>
      </c>
      <c r="B101" s="111">
        <v>4543832</v>
      </c>
      <c r="C101" s="111">
        <v>5352974</v>
      </c>
      <c r="D101" s="111">
        <v>6509819</v>
      </c>
      <c r="E101" s="111">
        <v>6984000</v>
      </c>
      <c r="F101" s="111">
        <v>7018000</v>
      </c>
    </row>
    <row r="102" spans="1:6">
      <c r="A102" s="7" t="s">
        <v>193</v>
      </c>
      <c r="B102" s="111">
        <v>0</v>
      </c>
      <c r="C102" s="111">
        <v>0</v>
      </c>
      <c r="D102" s="111">
        <v>0</v>
      </c>
      <c r="E102" s="111">
        <v>332000</v>
      </c>
      <c r="F102" s="111">
        <v>321000</v>
      </c>
    </row>
    <row r="103" spans="1:6">
      <c r="A103" s="7" t="s">
        <v>194</v>
      </c>
      <c r="B103" s="111">
        <v>221718</v>
      </c>
      <c r="C103" s="111">
        <v>228624</v>
      </c>
      <c r="D103" s="111">
        <v>219296</v>
      </c>
      <c r="E103" s="111">
        <v>210000</v>
      </c>
      <c r="F103" s="111">
        <v>204000</v>
      </c>
    </row>
    <row r="104" spans="1:6">
      <c r="A104" s="7" t="s">
        <v>442</v>
      </c>
      <c r="B104" s="111">
        <v>121435.99999999969</v>
      </c>
      <c r="C104" s="111">
        <v>58538.99999999976</v>
      </c>
      <c r="D104" s="111">
        <v>107077.99999999952</v>
      </c>
      <c r="E104" s="111">
        <v>108000</v>
      </c>
      <c r="F104" s="111">
        <v>132000</v>
      </c>
    </row>
    <row r="105" spans="1:6">
      <c r="A105" s="7" t="s">
        <v>443</v>
      </c>
      <c r="B105" s="111">
        <v>107941</v>
      </c>
      <c r="C105" s="111">
        <v>18841</v>
      </c>
      <c r="D105" s="111">
        <v>12701</v>
      </c>
      <c r="E105" s="111">
        <v>17000</v>
      </c>
      <c r="F105" s="111">
        <v>16000</v>
      </c>
    </row>
    <row r="106" spans="1:6">
      <c r="A106" s="7" t="s">
        <v>444</v>
      </c>
      <c r="B106" s="111">
        <v>829971</v>
      </c>
      <c r="C106" s="111">
        <v>934376</v>
      </c>
      <c r="D106" s="111">
        <v>835985</v>
      </c>
      <c r="E106" s="111">
        <v>881000</v>
      </c>
      <c r="F106" s="111">
        <v>1188000</v>
      </c>
    </row>
    <row r="107" spans="1:6">
      <c r="A107" s="7" t="s">
        <v>231</v>
      </c>
      <c r="B107" s="111">
        <v>166908</v>
      </c>
      <c r="C107" s="111">
        <v>233263</v>
      </c>
      <c r="D107" s="111">
        <v>124254</v>
      </c>
      <c r="E107" s="111">
        <v>105000</v>
      </c>
      <c r="F107" s="111">
        <v>184000</v>
      </c>
    </row>
    <row r="108" spans="1:6">
      <c r="A108" s="7" t="s">
        <v>388</v>
      </c>
      <c r="B108" s="111">
        <v>641635</v>
      </c>
      <c r="C108" s="111">
        <v>732178</v>
      </c>
      <c r="D108" s="111">
        <v>798508.00000000012</v>
      </c>
      <c r="E108" s="111">
        <v>812000</v>
      </c>
      <c r="F108" s="111">
        <v>1002000</v>
      </c>
    </row>
    <row r="109" spans="1:6">
      <c r="A109" s="7" t="s">
        <v>482</v>
      </c>
      <c r="B109" s="111">
        <v>1046104</v>
      </c>
      <c r="C109" s="111">
        <v>1040057</v>
      </c>
      <c r="D109" s="111">
        <v>2051875</v>
      </c>
      <c r="E109" s="111">
        <v>2053000</v>
      </c>
      <c r="F109" s="111">
        <v>2052000</v>
      </c>
    </row>
    <row r="110" spans="1:6">
      <c r="A110" s="7" t="s">
        <v>383</v>
      </c>
      <c r="B110" s="111">
        <v>185339.99999999991</v>
      </c>
      <c r="C110" s="111">
        <v>235536.9999999998</v>
      </c>
      <c r="D110" s="111">
        <v>372705.00000000017</v>
      </c>
      <c r="E110" s="111">
        <v>407000</v>
      </c>
      <c r="F110" s="111">
        <v>488000</v>
      </c>
    </row>
    <row r="111" spans="1:6">
      <c r="A111" s="7" t="s">
        <v>384</v>
      </c>
      <c r="B111" s="111">
        <v>217801</v>
      </c>
      <c r="C111" s="111">
        <v>243530</v>
      </c>
      <c r="D111" s="111">
        <v>262451</v>
      </c>
      <c r="E111" s="111">
        <v>320000</v>
      </c>
      <c r="F111" s="111">
        <v>377000</v>
      </c>
    </row>
    <row r="112" spans="1:6">
      <c r="A112" s="7" t="s">
        <v>385</v>
      </c>
      <c r="B112" s="111">
        <v>0</v>
      </c>
      <c r="C112" s="111">
        <v>0</v>
      </c>
      <c r="D112" s="111">
        <v>0</v>
      </c>
      <c r="E112" s="111">
        <v>0</v>
      </c>
      <c r="F112" s="111">
        <v>0</v>
      </c>
    </row>
    <row r="113" spans="1:6">
      <c r="A113" s="7" t="s">
        <v>48</v>
      </c>
      <c r="B113" s="111">
        <v>0</v>
      </c>
      <c r="C113" s="111">
        <v>0</v>
      </c>
      <c r="D113" s="111">
        <v>0</v>
      </c>
      <c r="E113" s="111">
        <v>0</v>
      </c>
      <c r="F113" s="111">
        <v>0</v>
      </c>
    </row>
    <row r="114" spans="1:6">
      <c r="A114" s="7" t="s">
        <v>150</v>
      </c>
      <c r="B114" s="111">
        <v>1586484.9999999998</v>
      </c>
      <c r="C114" s="111">
        <v>123861.00000000079</v>
      </c>
      <c r="D114" s="111">
        <v>-461782.00000000017</v>
      </c>
      <c r="E114" s="111">
        <v>-663000</v>
      </c>
      <c r="F114" s="111">
        <v>-550000</v>
      </c>
    </row>
    <row r="115" spans="1:6">
      <c r="A115" s="7" t="s">
        <v>151</v>
      </c>
      <c r="B115" s="111">
        <v>4370853</v>
      </c>
      <c r="C115" s="111">
        <v>5479534</v>
      </c>
      <c r="D115" s="111">
        <v>6563385</v>
      </c>
      <c r="E115" s="111">
        <v>7402000</v>
      </c>
      <c r="F115" s="111">
        <v>8403000</v>
      </c>
    </row>
    <row r="116" spans="1:6">
      <c r="A116" s="7" t="s">
        <v>49</v>
      </c>
      <c r="B116" s="111">
        <v>0</v>
      </c>
      <c r="C116" s="111">
        <v>0</v>
      </c>
      <c r="D116" s="111">
        <v>0</v>
      </c>
      <c r="E116" s="111">
        <v>0</v>
      </c>
      <c r="F116" s="111">
        <v>0</v>
      </c>
    </row>
  </sheetData>
  <customSheetViews>
    <customSheetView guid="{0C8E75F0-104F-11D3-8830-006008AC4B3E}" showRuler="0" topLeftCell="A27">
      <selection activeCell="B72" sqref="B72"/>
      <pageMargins left="0.7" right="0.7" top="0.75" bottom="0.75" header="0.3" footer="0.3"/>
      <pageSetup orientation="portrait" horizontalDpi="4294967292" verticalDpi="4294967292"/>
    </customSheetView>
  </customSheetViews>
  <mergeCells count="3">
    <mergeCell ref="B4:C4"/>
    <mergeCell ref="C1:F2"/>
    <mergeCell ref="G82:I85"/>
  </mergeCells>
  <phoneticPr fontId="0" type="noConversion"/>
  <hyperlinks>
    <hyperlink ref="C3" location="A100" display="Jump to Raw Data Input" xr:uid="{00000000-0004-0000-0100-000000000000}"/>
  </hyperlinks>
  <pageMargins left="0.75" right="0.75" top="1" bottom="1" header="0.5" footer="0.5"/>
  <pageSetup orientation="portrait" horizontalDpi="4294967292" verticalDpi="4294967292"/>
  <ignoredErrors>
    <ignoredError sqref="B5 F34:F36 B60:B63 B15:F16 B18:F18 B21:E21 F28 B24:F24 B31:B32 B38:F41 B43:F47 B54:F56 C61 D60:F61 C30:F32 B33:E36 B9:F13 B4:D4 B49:F51 B23:F23 F26 B20:E20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72"/>
  <sheetViews>
    <sheetView zoomScale="125" workbookViewId="0">
      <pane xSplit="1" ySplit="7" topLeftCell="B8" activePane="bottomRight" state="frozenSplit"/>
      <selection pane="topRight" activeCell="E1" sqref="E1"/>
      <selection pane="bottomLeft" activeCell="A13" sqref="A13"/>
      <selection pane="bottomRight"/>
    </sheetView>
  </sheetViews>
  <sheetFormatPr baseColWidth="10" defaultColWidth="8.83203125" defaultRowHeight="13"/>
  <cols>
    <col min="1" max="1" width="29.5" customWidth="1"/>
    <col min="2" max="18" width="10.6640625" customWidth="1"/>
  </cols>
  <sheetData>
    <row r="1" spans="1:18" s="59" customFormat="1" ht="18">
      <c r="A1" s="175" t="s">
        <v>57</v>
      </c>
      <c r="B1" s="176"/>
      <c r="C1" s="176"/>
      <c r="D1" s="176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</row>
    <row r="2" spans="1:18" ht="18" customHeight="1">
      <c r="A2" s="178"/>
      <c r="B2" s="178"/>
      <c r="C2" s="178"/>
      <c r="D2" s="178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</row>
    <row r="3" spans="1:18" ht="12.75" customHeight="1">
      <c r="A3" s="166" t="s">
        <v>228</v>
      </c>
      <c r="B3" s="166"/>
      <c r="C3" s="166"/>
      <c r="D3" s="166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</row>
    <row r="4" spans="1:18">
      <c r="A4" s="1" t="s">
        <v>412</v>
      </c>
      <c r="B4" s="13" t="str">
        <f>'Financial Statements'!B4</f>
        <v>KOHL'S CORP</v>
      </c>
      <c r="C4" s="1"/>
      <c r="D4" s="1"/>
      <c r="E4" s="3"/>
      <c r="L4" s="57"/>
    </row>
    <row r="5" spans="1:18">
      <c r="A5" s="1"/>
      <c r="B5" s="1"/>
      <c r="C5" s="1"/>
      <c r="D5" s="1"/>
      <c r="L5" s="57"/>
    </row>
    <row r="6" spans="1:18">
      <c r="A6" s="1"/>
      <c r="B6" s="15" t="s">
        <v>535</v>
      </c>
      <c r="C6" s="15" t="s">
        <v>535</v>
      </c>
      <c r="D6" s="15" t="s">
        <v>535</v>
      </c>
      <c r="E6" s="15" t="s">
        <v>535</v>
      </c>
      <c r="F6" s="15" t="s">
        <v>535</v>
      </c>
      <c r="G6" s="2" t="s">
        <v>536</v>
      </c>
      <c r="H6" s="2" t="s">
        <v>536</v>
      </c>
      <c r="I6" s="2" t="s">
        <v>536</v>
      </c>
      <c r="J6" s="2" t="s">
        <v>536</v>
      </c>
      <c r="K6" s="2" t="s">
        <v>536</v>
      </c>
      <c r="L6" s="2" t="s">
        <v>536</v>
      </c>
      <c r="M6" s="2" t="s">
        <v>536</v>
      </c>
      <c r="N6" s="2" t="s">
        <v>536</v>
      </c>
      <c r="O6" s="2" t="s">
        <v>536</v>
      </c>
      <c r="P6" s="2" t="s">
        <v>536</v>
      </c>
      <c r="Q6" s="2" t="s">
        <v>536</v>
      </c>
      <c r="R6" s="2" t="s">
        <v>536</v>
      </c>
    </row>
    <row r="7" spans="1:18" ht="14" thickBot="1">
      <c r="A7" s="1" t="s">
        <v>534</v>
      </c>
      <c r="B7" s="258">
        <f>'Financial Statements'!B8</f>
        <v>37286</v>
      </c>
      <c r="C7" s="258">
        <f>'Financial Statements'!C8</f>
        <v>37651</v>
      </c>
      <c r="D7" s="258">
        <f>'Financial Statements'!D8</f>
        <v>38016</v>
      </c>
      <c r="E7" s="258">
        <f>'Financial Statements'!E8</f>
        <v>38382</v>
      </c>
      <c r="F7" s="258">
        <f>'Financial Statements'!F8</f>
        <v>38747</v>
      </c>
      <c r="G7" s="259">
        <f>'Financial Statements'!G8</f>
        <v>39112</v>
      </c>
      <c r="H7" s="259">
        <f>'Financial Statements'!H8</f>
        <v>39477</v>
      </c>
      <c r="I7" s="259">
        <f>'Financial Statements'!I8</f>
        <v>39843</v>
      </c>
      <c r="J7" s="259">
        <f>'Financial Statements'!J8</f>
        <v>40208</v>
      </c>
      <c r="K7" s="259">
        <f>'Financial Statements'!K8</f>
        <v>40573</v>
      </c>
      <c r="L7" s="259">
        <f>'Financial Statements'!L8</f>
        <v>40938</v>
      </c>
      <c r="M7" s="259">
        <f>'Financial Statements'!M8</f>
        <v>41304</v>
      </c>
      <c r="N7" s="259">
        <f>'Financial Statements'!N8</f>
        <v>41669</v>
      </c>
      <c r="O7" s="259">
        <f>'Financial Statements'!O8</f>
        <v>42034</v>
      </c>
      <c r="P7" s="259">
        <f>'Financial Statements'!P8</f>
        <v>42399</v>
      </c>
      <c r="Q7" s="259">
        <f>'Financial Statements'!Q8</f>
        <v>42765</v>
      </c>
      <c r="R7" s="259">
        <f>'Financial Statements'!R8</f>
        <v>43130</v>
      </c>
    </row>
    <row r="9" spans="1:18">
      <c r="A9" s="76" t="s">
        <v>38</v>
      </c>
      <c r="B9" s="1"/>
      <c r="C9" s="1"/>
      <c r="D9" s="1"/>
    </row>
    <row r="10" spans="1:18">
      <c r="A10" t="s">
        <v>542</v>
      </c>
      <c r="B10" s="37"/>
      <c r="C10" s="37">
        <f>'Financial Statements'!C12/'Financial Statements'!B12-1</f>
        <v>0.15982184141623734</v>
      </c>
      <c r="D10" s="37">
        <f>'Financial Statements'!D12/'Financial Statements'!C12-1</f>
        <v>5.9800501589533317E-2</v>
      </c>
      <c r="E10" s="37">
        <f>'Financial Statements'!E12/'Financial Statements'!D12-1</f>
        <v>-5.1435818983115444E-3</v>
      </c>
      <c r="F10" s="37">
        <f>'Financial Statements'!F12/'Financial Statements'!E12-1</f>
        <v>4.8142046494600077E-2</v>
      </c>
      <c r="G10" s="47">
        <f>'Financial Statements'!G12/'Financial Statements'!F12-1</f>
        <v>4.6492769540545487E-2</v>
      </c>
      <c r="H10" s="47">
        <f>'Financial Statements'!H12/'Financial Statements'!G12-1</f>
        <v>4.4843492586490896E-2</v>
      </c>
      <c r="I10" s="47">
        <f>'Financial Statements'!I12/'Financial Statements'!H12-1</f>
        <v>4.3194215632436528E-2</v>
      </c>
      <c r="J10" s="47">
        <f>'Financial Statements'!J12/'Financial Statements'!I12-1</f>
        <v>4.1544938678381937E-2</v>
      </c>
      <c r="K10" s="47">
        <f>'Financial Statements'!K12/'Financial Statements'!J12-1</f>
        <v>3.9895661724327347E-2</v>
      </c>
      <c r="L10" s="47">
        <f>'Financial Statements'!L12/'Financial Statements'!K12-1</f>
        <v>3.8246384770272757E-2</v>
      </c>
      <c r="M10" s="47">
        <f>'Financial Statements'!M12/'Financial Statements'!L12-1</f>
        <v>3.6597107816218166E-2</v>
      </c>
      <c r="N10" s="47">
        <f>'Financial Statements'!N12/'Financial Statements'!M12-1</f>
        <v>3.4947830862163576E-2</v>
      </c>
      <c r="O10" s="47">
        <f>'Financial Statements'!O12/'Financial Statements'!N12-1</f>
        <v>3.3298553908109207E-2</v>
      </c>
      <c r="P10" s="47">
        <f>'Financial Statements'!P12/'Financial Statements'!O12-1</f>
        <v>3.1649276954054617E-2</v>
      </c>
      <c r="Q10" s="47">
        <f>'Financial Statements'!Q12/'Financial Statements'!P12-1</f>
        <v>3.0000000000000027E-2</v>
      </c>
      <c r="R10" s="47">
        <f>'Financial Statements'!R12/'Financial Statements'!Q12-1</f>
        <v>3.0000000000000027E-2</v>
      </c>
    </row>
    <row r="11" spans="1:18">
      <c r="A11" t="s">
        <v>24</v>
      </c>
      <c r="B11" s="37"/>
      <c r="C11" s="37">
        <f>IF('Financial Statements'!B42&lt;=0,#N/A,'Financial Statements'!C42/'Financial Statements'!B42-1)</f>
        <v>-1.2221188200027155E-2</v>
      </c>
      <c r="D11" s="37">
        <f>IF('Financial Statements'!C42&lt;=0,#N/A,'Financial Statements'!D42/'Financial Statements'!C42-1)</f>
        <v>0.16799859133384953</v>
      </c>
      <c r="E11" s="37">
        <f>IF('Financial Statements'!D42&lt;=0,#N/A,'Financial Statements'!E42/'Financial Statements'!D42-1)</f>
        <v>7.3287120308346054E-2</v>
      </c>
      <c r="F11" s="37">
        <f>IF('Financial Statements'!E42&lt;=0,#N/A,'Financial Statements'!F42/'Financial Statements'!E42-1)</f>
        <v>0.16110817010764067</v>
      </c>
      <c r="G11" s="47">
        <f>IF('Financial Statements'!F42&lt;=0,#N/A,'Financial Statements'!G42/'Financial Statements'!F42-1)</f>
        <v>4.6492769540545487E-2</v>
      </c>
      <c r="H11" s="47">
        <f>IF('Financial Statements'!G42&lt;=0,#N/A,'Financial Statements'!H42/'Financial Statements'!G42-1)</f>
        <v>4.4843492586490896E-2</v>
      </c>
      <c r="I11" s="47">
        <f>IF('Financial Statements'!H42&lt;=0,#N/A,'Financial Statements'!I42/'Financial Statements'!H42-1)</f>
        <v>4.3194215632436528E-2</v>
      </c>
      <c r="J11" s="47">
        <f>IF('Financial Statements'!I42&lt;=0,#N/A,'Financial Statements'!J42/'Financial Statements'!I42-1)</f>
        <v>4.1544938678382159E-2</v>
      </c>
      <c r="K11" s="47">
        <f>IF('Financial Statements'!J42&lt;=0,#N/A,'Financial Statements'!K42/'Financial Statements'!J42-1)</f>
        <v>3.9895661724327347E-2</v>
      </c>
      <c r="L11" s="47">
        <f>IF('Financial Statements'!K42&lt;=0,#N/A,'Financial Statements'!L42/'Financial Statements'!K42-1)</f>
        <v>3.8246384770272757E-2</v>
      </c>
      <c r="M11" s="47">
        <f>IF('Financial Statements'!L42&lt;=0,#N/A,'Financial Statements'!M42/'Financial Statements'!L42-1)</f>
        <v>3.6597107816217722E-2</v>
      </c>
      <c r="N11" s="47">
        <f>IF('Financial Statements'!M42&lt;=0,#N/A,'Financial Statements'!N42/'Financial Statements'!M42-1)</f>
        <v>3.4947830862163576E-2</v>
      </c>
      <c r="O11" s="47">
        <f>IF('Financial Statements'!N42&lt;=0,#N/A,'Financial Statements'!O42/'Financial Statements'!N42-1)</f>
        <v>3.3298553908109652E-2</v>
      </c>
      <c r="P11" s="47">
        <f>IF('Financial Statements'!O42&lt;=0,#N/A,'Financial Statements'!P42/'Financial Statements'!O42-1)</f>
        <v>3.1649276954054395E-2</v>
      </c>
      <c r="Q11" s="47">
        <f>IF('Financial Statements'!P42&lt;=0,#N/A,'Financial Statements'!Q42/'Financial Statements'!P42-1)</f>
        <v>2.9999999999999805E-2</v>
      </c>
      <c r="R11" s="47">
        <f>IF('Financial Statements'!Q42&lt;=0,#N/A,'Financial Statements'!R42/'Financial Statements'!Q42-1)</f>
        <v>3.0000000000000027E-2</v>
      </c>
    </row>
    <row r="12" spans="1:18">
      <c r="A12" t="s">
        <v>93</v>
      </c>
      <c r="B12" s="37"/>
      <c r="C12" s="37">
        <f>IF('Financial Statements'!B57&lt;=0,#N/A,'Financial Statements'!C57/'Financial Statements'!B57-1)</f>
        <v>-5.9412945849303678E-2</v>
      </c>
      <c r="D12" s="37">
        <f>IF('Financial Statements'!C57&lt;=0,#N/A,'Financial Statements'!D57/'Financial Statements'!C57-1)</f>
        <v>8.8911811499992277E-2</v>
      </c>
      <c r="E12" s="37">
        <f>IF('Financial Statements'!D57&lt;=0,#N/A,'Financial Statements'!E57/'Financial Statements'!D57-1)</f>
        <v>0.10446385974308714</v>
      </c>
      <c r="F12" s="37">
        <f>IF('Financial Statements'!E57&lt;=0,#N/A,'Financial Statements'!F57/'Financial Statements'!E57-1)</f>
        <v>0.16530642528565065</v>
      </c>
      <c r="G12" s="47">
        <f>IF('Financial Statements'!F57&lt;=0,#N/A,'Financial Statements'!G57/'Financial Statements'!F57-1)</f>
        <v>4.6492769540545709E-2</v>
      </c>
      <c r="H12" s="47">
        <f>IF('Financial Statements'!G57&lt;=0,#N/A,'Financial Statements'!H57/'Financial Statements'!G57-1)</f>
        <v>4.4843492586490674E-2</v>
      </c>
      <c r="I12" s="47">
        <f>IF('Financial Statements'!H57&lt;=0,#N/A,'Financial Statements'!I57/'Financial Statements'!H57-1)</f>
        <v>4.3194215632436528E-2</v>
      </c>
      <c r="J12" s="47">
        <f>IF('Financial Statements'!I57&lt;=0,#N/A,'Financial Statements'!J57/'Financial Statements'!I57-1)</f>
        <v>4.1544938678382159E-2</v>
      </c>
      <c r="K12" s="47">
        <f>IF('Financial Statements'!J57&lt;=0,#N/A,'Financial Statements'!K57/'Financial Statements'!J57-1)</f>
        <v>3.9895661724327569E-2</v>
      </c>
      <c r="L12" s="47">
        <f>IF('Financial Statements'!K57&lt;=0,#N/A,'Financial Statements'!L57/'Financial Statements'!K57-1)</f>
        <v>3.8246384770272757E-2</v>
      </c>
      <c r="M12" s="47">
        <f>IF('Financial Statements'!L57&lt;=0,#N/A,'Financial Statements'!M57/'Financial Statements'!L57-1)</f>
        <v>3.65971078162175E-2</v>
      </c>
      <c r="N12" s="47">
        <f>IF('Financial Statements'!M57&lt;=0,#N/A,'Financial Statements'!N57/'Financial Statements'!M57-1)</f>
        <v>3.4947830862163576E-2</v>
      </c>
      <c r="O12" s="47">
        <f>IF('Financial Statements'!N57&lt;=0,#N/A,'Financial Statements'!O57/'Financial Statements'!N57-1)</f>
        <v>3.3298553908109652E-2</v>
      </c>
      <c r="P12" s="47">
        <f>IF('Financial Statements'!O57&lt;=0,#N/A,'Financial Statements'!P57/'Financial Statements'!O57-1)</f>
        <v>3.1649276954054395E-2</v>
      </c>
      <c r="Q12" s="47">
        <f>IF('Financial Statements'!P57&lt;=0,#N/A,'Financial Statements'!Q57/'Financial Statements'!P57-1)</f>
        <v>2.9999999999999583E-2</v>
      </c>
      <c r="R12" s="47">
        <f>IF('Financial Statements'!Q57&lt;=0,#N/A,'Financial Statements'!R57/'Financial Statements'!Q57-1)</f>
        <v>3.0000000000000249E-2</v>
      </c>
    </row>
    <row r="13" spans="1:18">
      <c r="A13" t="s">
        <v>25</v>
      </c>
      <c r="B13" s="37"/>
      <c r="C13" s="37">
        <f>IF('Financial Statements'!B29&lt;=0,#N/A,'Financial Statements'!C29/'Financial Statements'!B29-1)</f>
        <v>0.31678583305620212</v>
      </c>
      <c r="D13" s="37">
        <f>IF('Financial Statements'!C29&lt;=0,#N/A,'Financial Statements'!D29/'Financial Statements'!C29-1)</f>
        <v>-2.2395982252785052E-2</v>
      </c>
      <c r="E13" s="37">
        <f>IF('Financial Statements'!D29&lt;=0,#N/A,'Financial Statements'!E29/'Financial Statements'!D29-1)</f>
        <v>-0.18346710018258972</v>
      </c>
      <c r="F13" s="37">
        <f>IF('Financial Statements'!E29&lt;=0,#N/A,'Financial Statements'!F29/'Financial Statements'!E29-1)</f>
        <v>0.11977401129943499</v>
      </c>
      <c r="G13" s="47">
        <f>IF('Financial Statements'!F29&lt;=0,#N/A,'Financial Statements'!G29/'Financial Statements'!F29-1)</f>
        <v>5.6394574081443549E-2</v>
      </c>
      <c r="H13" s="47">
        <f>IF('Financial Statements'!G29&lt;=0,#N/A,'Financial Statements'!H29/'Financial Statements'!G29-1)</f>
        <v>4.4487063145329131E-2</v>
      </c>
      <c r="I13" s="47">
        <f>IF('Financial Statements'!H29&lt;=0,#N/A,'Financial Statements'!I29/'Financial Statements'!H29-1)</f>
        <v>4.2837101747364326E-2</v>
      </c>
      <c r="J13" s="47">
        <f>IF('Financial Statements'!I29&lt;=0,#N/A,'Financial Statements'!J29/'Financial Statements'!I29-1)</f>
        <v>4.1187137715696265E-2</v>
      </c>
      <c r="K13" s="47">
        <f>IF('Financial Statements'!J29&lt;=0,#N/A,'Financial Statements'!K29/'Financial Statements'!J29-1)</f>
        <v>3.9537171035093133E-2</v>
      </c>
      <c r="L13" s="47">
        <f>IF('Financial Statements'!K29&lt;=0,#N/A,'Financial Statements'!L29/'Financial Statements'!K29-1)</f>
        <v>3.7887201690206762E-2</v>
      </c>
      <c r="M13" s="47">
        <f>IF('Financial Statements'!L29&lt;=0,#N/A,'Financial Statements'!M29/'Financial Statements'!L29-1)</f>
        <v>3.6237229665570414E-2</v>
      </c>
      <c r="N13" s="47">
        <f>IF('Financial Statements'!M29&lt;=0,#N/A,'Financial Statements'!N29/'Financial Statements'!M29-1)</f>
        <v>3.4587254945596335E-2</v>
      </c>
      <c r="O13" s="47">
        <f>IF('Financial Statements'!N29&lt;=0,#N/A,'Financial Statements'!O29/'Financial Statements'!N29-1)</f>
        <v>3.2937277514576202E-2</v>
      </c>
      <c r="P13" s="47">
        <f>IF('Financial Statements'!O29&lt;=0,#N/A,'Financial Statements'!P29/'Financial Statements'!O29-1)</f>
        <v>3.1287297356679344E-2</v>
      </c>
      <c r="Q13" s="47">
        <f>IF('Financial Statements'!P29&lt;=0,#N/A,'Financial Statements'!Q29/'Financial Statements'!P29-1)</f>
        <v>2.9637314455951858E-2</v>
      </c>
      <c r="R13" s="47">
        <f>IF('Financial Statements'!Q29&lt;=0,#N/A,'Financial Statements'!R29/'Financial Statements'!Q29-1)</f>
        <v>3.0000000000000027E-2</v>
      </c>
    </row>
    <row r="14" spans="1:18">
      <c r="A14" t="s">
        <v>26</v>
      </c>
      <c r="B14" s="38"/>
      <c r="C14" s="37"/>
      <c r="D14" s="37">
        <f>IF('Cash Flow Analysis'!B116&lt;=0,#N/A,'Cash Flow Analysis'!C116/'Cash Flow Analysis'!B116-1)</f>
        <v>-1.2235403116364714</v>
      </c>
      <c r="E14" s="37" t="e">
        <f>IF('Cash Flow Analysis'!C116&lt;=0,#N/A,'Cash Flow Analysis'!D116/'Cash Flow Analysis'!C116-1)</f>
        <v>#N/A</v>
      </c>
      <c r="F14" s="37">
        <f>IF('Cash Flow Analysis'!D116&lt;=0,#N/A,'Cash Flow Analysis'!E116/'Cash Flow Analysis'!D116-1)</f>
        <v>-1.0968254997851472</v>
      </c>
      <c r="G14" s="47" t="e">
        <f>IF('Cash Flow Analysis'!E116&lt;=0,#N/A,'Cash Flow Analysis'!F116/'Cash Flow Analysis'!E116-1)</f>
        <v>#N/A</v>
      </c>
      <c r="H14" s="47">
        <f>IF('Cash Flow Analysis'!F116&lt;=0,#N/A,'Cash Flow Analysis'!G116/'Cash Flow Analysis'!F116-1)</f>
        <v>6.8769683841363616E-2</v>
      </c>
      <c r="I14" s="47">
        <f>IF('Cash Flow Analysis'!G116&lt;=0,#N/A,'Cash Flow Analysis'!H116/'Cash Flow Analysis'!G116-1)</f>
        <v>6.6621701019997204E-2</v>
      </c>
      <c r="J14" s="47">
        <f>IF('Cash Flow Analysis'!H116&lt;=0,#N/A,'Cash Flow Analysis'!I116/'Cash Flow Analysis'!H116-1)</f>
        <v>6.4494083282746528E-2</v>
      </c>
      <c r="K14" s="47">
        <f>IF('Cash Flow Analysis'!I116&lt;=0,#N/A,'Cash Flow Analysis'!J116/'Cash Flow Analysis'!I116-1)</f>
        <v>6.2385608151421135E-2</v>
      </c>
      <c r="L14" s="47">
        <f>IF('Cash Flow Analysis'!J116&lt;=0,#N/A,'Cash Flow Analysis'!K116/'Cash Flow Analysis'!J116-1)</f>
        <v>6.0295149072572052E-2</v>
      </c>
      <c r="M14" s="47">
        <f>IF('Cash Flow Analysis'!K116&lt;=0,#N/A,'Cash Flow Analysis'!L116/'Cash Flow Analysis'!K116-1)</f>
        <v>5.8221666189802068E-2</v>
      </c>
      <c r="N14" s="47">
        <f>IF('Cash Flow Analysis'!L116&lt;=0,#N/A,'Cash Flow Analysis'!M116/'Cash Flow Analysis'!L116-1)</f>
        <v>5.6164198161143153E-2</v>
      </c>
      <c r="O14" s="47">
        <f>IF('Cash Flow Analysis'!M116&lt;=0,#N/A,'Cash Flow Analysis'!N116/'Cash Flow Analysis'!M116-1)</f>
        <v>5.4121854886099552E-2</v>
      </c>
      <c r="P14" s="47">
        <f>IF('Cash Flow Analysis'!N116&lt;=0,#N/A,'Cash Flow Analysis'!O116/'Cash Flow Analysis'!N116-1)</f>
        <v>5.2093811026348025E-2</v>
      </c>
      <c r="Q14" s="47">
        <f>IF('Cash Flow Analysis'!O116&lt;=0,#N/A,'Cash Flow Analysis'!P116/'Cash Flow Analysis'!O116-1)</f>
        <v>5.0079300220970291E-2</v>
      </c>
      <c r="R14" s="47">
        <f>IF('Cash Flow Analysis'!P116&lt;=0,#N/A,'Cash Flow Analysis'!Q116/'Cash Flow Analysis'!P116-1)</f>
        <v>3.0000000000000471E-2</v>
      </c>
    </row>
    <row r="15" spans="1:18">
      <c r="A15" t="s">
        <v>494</v>
      </c>
      <c r="B15" s="38"/>
      <c r="C15" s="37"/>
      <c r="D15" s="37">
        <f>D19*(1-'Forecasting Assumptions'!D49)</f>
        <v>0.18519456389484218</v>
      </c>
      <c r="E15" s="37">
        <f>E19*(1-'Forecasting Assumptions'!E49)</f>
        <v>0.13784399377505868</v>
      </c>
      <c r="F15" s="37">
        <f>F19*(1-'Forecasting Assumptions'!F49)</f>
        <v>0.13582785087719298</v>
      </c>
      <c r="G15" s="47">
        <f>G19*(1-'Forecasting Assumptions'!G49)</f>
        <v>0.13028187492812091</v>
      </c>
      <c r="H15" s="47">
        <f>H19*(1-'Forecasting Assumptions'!H49)</f>
        <v>0.13013705488032362</v>
      </c>
      <c r="I15" s="47">
        <f>I19*(1-'Forecasting Assumptions'!I49)</f>
        <v>0.12999200103354086</v>
      </c>
      <c r="J15" s="47">
        <f>J19*(1-'Forecasting Assumptions'!J49)</f>
        <v>0.1298467128211441</v>
      </c>
      <c r="K15" s="47">
        <f>K19*(1-'Forecasting Assumptions'!K49)</f>
        <v>0.12970118967467209</v>
      </c>
      <c r="L15" s="47">
        <f>L19*(1-'Forecasting Assumptions'!L49)</f>
        <v>0.12955543102382377</v>
      </c>
      <c r="M15" s="47">
        <f>M19*(1-'Forecasting Assumptions'!M49)</f>
        <v>0.12940943629645088</v>
      </c>
      <c r="N15" s="47">
        <f>N19*(1-'Forecasting Assumptions'!N49)</f>
        <v>0.12926320491855001</v>
      </c>
      <c r="O15" s="47">
        <f>O19*(1-'Forecasting Assumptions'!O49)</f>
        <v>0.12911673631425549</v>
      </c>
      <c r="P15" s="47">
        <f>P19*(1-'Forecasting Assumptions'!P49)</f>
        <v>0.12897002990583176</v>
      </c>
      <c r="Q15" s="47">
        <f>Q19*(1-'Forecasting Assumptions'!Q49)</f>
        <v>0.12882308511366586</v>
      </c>
      <c r="R15" s="47">
        <f>R19*(1-'Forecasting Assumptions'!R49)</f>
        <v>0.12882308511366586</v>
      </c>
    </row>
    <row r="16" spans="1:18">
      <c r="B16" s="38"/>
      <c r="C16" s="37"/>
      <c r="D16" s="37"/>
      <c r="E16" s="37"/>
      <c r="F16" s="3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B17" s="32"/>
      <c r="C17" s="32"/>
      <c r="D17" s="32"/>
      <c r="E17" s="32"/>
      <c r="F17" s="38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>
      <c r="A18" s="76" t="s">
        <v>66</v>
      </c>
      <c r="B18" s="36"/>
      <c r="C18" s="36"/>
      <c r="D18" s="36"/>
      <c r="E18" s="32"/>
      <c r="F18" s="38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>
      <c r="A19" t="s">
        <v>349</v>
      </c>
      <c r="B19" s="38"/>
      <c r="C19" s="38">
        <f>'Financial Statements'!C73/(('Financial Statements'!B77+'Financial Statements'!C77)/2)</f>
        <v>0.19180116001295072</v>
      </c>
      <c r="D19" s="38">
        <f>'Financial Statements'!D73/(('Financial Statements'!C77+'Financial Statements'!D77)/2)</f>
        <v>0.18519456389484218</v>
      </c>
      <c r="E19" s="38">
        <f>'Financial Statements'!E73/(('Financial Statements'!D77+'Financial Statements'!E77)/2)</f>
        <v>0.13784399377505868</v>
      </c>
      <c r="F19" s="38">
        <f>'Financial Statements'!F73/(('Financial Statements'!E77+'Financial Statements'!F77)/2)</f>
        <v>0.13582785087719298</v>
      </c>
      <c r="G19" s="39">
        <f>'Financial Statements'!G73/(('Financial Statements'!F77+'Financial Statements'!G77)/2)</f>
        <v>0.13028187492812091</v>
      </c>
      <c r="H19" s="39">
        <f>'Financial Statements'!H73/(('Financial Statements'!G77+'Financial Statements'!H77)/2)</f>
        <v>0.13013705488032362</v>
      </c>
      <c r="I19" s="39">
        <f>'Financial Statements'!I73/(('Financial Statements'!H77+'Financial Statements'!I77)/2)</f>
        <v>0.12999200103354086</v>
      </c>
      <c r="J19" s="39">
        <f>'Financial Statements'!J73/(('Financial Statements'!I77+'Financial Statements'!J77)/2)</f>
        <v>0.1298467128211441</v>
      </c>
      <c r="K19" s="39">
        <f>'Financial Statements'!K73/(('Financial Statements'!J77+'Financial Statements'!K77)/2)</f>
        <v>0.12970118967467209</v>
      </c>
      <c r="L19" s="39">
        <f>'Financial Statements'!L73/(('Financial Statements'!K77+'Financial Statements'!L77)/2)</f>
        <v>0.12955543102382377</v>
      </c>
      <c r="M19" s="39">
        <f>'Financial Statements'!M73/(('Financial Statements'!L77+'Financial Statements'!M77)/2)</f>
        <v>0.12940943629645088</v>
      </c>
      <c r="N19" s="39">
        <f>'Financial Statements'!N73/(('Financial Statements'!M77+'Financial Statements'!N77)/2)</f>
        <v>0.12926320491855001</v>
      </c>
      <c r="O19" s="39">
        <f>'Financial Statements'!O73/(('Financial Statements'!N77+'Financial Statements'!O77)/2)</f>
        <v>0.12911673631425549</v>
      </c>
      <c r="P19" s="39">
        <f>'Financial Statements'!P73/(('Financial Statements'!O77+'Financial Statements'!P77)/2)</f>
        <v>0.12897002990583176</v>
      </c>
      <c r="Q19" s="39">
        <f>'Financial Statements'!Q73/(('Financial Statements'!P77+'Financial Statements'!Q77)/2)</f>
        <v>0.12882308511366586</v>
      </c>
      <c r="R19" s="39">
        <f>'Financial Statements'!R73/(('Financial Statements'!Q77+'Financial Statements'!R77)/2)</f>
        <v>0.12882308511366586</v>
      </c>
    </row>
    <row r="20" spans="1:18">
      <c r="A20" t="s">
        <v>470</v>
      </c>
      <c r="B20" s="32"/>
      <c r="C20" s="38">
        <f>('Financial Statements'!C29-'Financial Statements'!C26-'Financial Statements'!C24-((IF('Financial Statements'!C22=0,0,('Financial Statements'!C22+'Financial Statements'!C23)/'Financial Statements'!C22))*'Financial Statements'!C21))/(('Financial Statements'!B77+'Financial Statements'!C77)/2)</f>
        <v>0.18811839874235556</v>
      </c>
      <c r="D20" s="38">
        <f>('Financial Statements'!D29-'Financial Statements'!D26-'Financial Statements'!D24-((IF('Financial Statements'!D22=0,0,('Financial Statements'!D22+'Financial Statements'!D23)/'Financial Statements'!D22))*'Financial Statements'!D21))/(('Financial Statements'!C77+'Financial Statements'!D77)/2)</f>
        <v>0.18133601824625287</v>
      </c>
      <c r="E20" s="38">
        <f>('Financial Statements'!E29-'Financial Statements'!E26-'Financial Statements'!E24-((IF('Financial Statements'!E22=0,0,('Financial Statements'!E22+'Financial Statements'!E23)/'Financial Statements'!E22))*'Financial Statements'!E21))/(('Financial Statements'!D77+'Financial Statements'!E77)/2)</f>
        <v>0.13503874758595225</v>
      </c>
      <c r="F20" s="38">
        <f>('Financial Statements'!F29-'Financial Statements'!F26-'Financial Statements'!F24-((IF('Financial Statements'!F22=0,0,('Financial Statements'!F22+'Financial Statements'!F23)/'Financial Statements'!F22))*'Financial Statements'!F21))/(('Financial Statements'!E77+'Financial Statements'!F77)/2)</f>
        <v>0.13497251176587566</v>
      </c>
      <c r="G20" s="39">
        <f>('Financial Statements'!G29-'Financial Statements'!G26-'Financial Statements'!G24-((IF('Financial Statements'!G22=0,0,('Financial Statements'!G22+'Financial Statements'!G23)/'Financial Statements'!G22))*'Financial Statements'!G21))/(('Financial Statements'!F77+'Financial Statements'!G77)/2)</f>
        <v>0.12946915001625231</v>
      </c>
      <c r="H20" s="39">
        <f>('Financial Statements'!H29-'Financial Statements'!H26-'Financial Statements'!H24-((IF('Financial Statements'!H22=0,0,('Financial Statements'!H22+'Financial Statements'!H23)/'Financial Statements'!H22))*'Financial Statements'!H21))/(('Financial Statements'!G77+'Financial Statements'!H77)/2)</f>
        <v>0.12932495635274482</v>
      </c>
      <c r="I20" s="39">
        <f>('Financial Statements'!I29-'Financial Statements'!I26-'Financial Statements'!I24-((IF('Financial Statements'!I22=0,0,('Financial Statements'!I22+'Financial Statements'!I23)/'Financial Statements'!I22))*'Financial Statements'!I21))/(('Financial Statements'!H77+'Financial Statements'!I77)/2)</f>
        <v>0.12918052990149312</v>
      </c>
      <c r="J20" s="39">
        <f>('Financial Statements'!J29-'Financial Statements'!J26-'Financial Statements'!J24-((IF('Financial Statements'!J22=0,0,('Financial Statements'!J22+'Financial Statements'!J23)/'Financial Statements'!J22))*'Financial Statements'!J21))/(('Financial Statements'!I77+'Financial Statements'!J77)/2)</f>
        <v>0.12903587009831954</v>
      </c>
      <c r="K20" s="39">
        <f>('Financial Statements'!K29-'Financial Statements'!K26-'Financial Statements'!K24-((IF('Financial Statements'!K22=0,0,('Financial Statements'!K22+'Financial Statements'!K23)/'Financial Statements'!K22))*'Financial Statements'!K21))/(('Financial Statements'!J77+'Financial Statements'!K77)/2)</f>
        <v>0.12889097637722152</v>
      </c>
      <c r="L20" s="39">
        <f>('Financial Statements'!L29-'Financial Statements'!L26-'Financial Statements'!L24-((IF('Financial Statements'!L22=0,0,('Financial Statements'!L22+'Financial Statements'!L23)/'Financial Statements'!L22))*'Financial Statements'!L21))/(('Financial Statements'!K77+'Financial Statements'!L77)/2)</f>
        <v>0.12874584817036477</v>
      </c>
      <c r="M20" s="39">
        <f>('Financial Statements'!M29-'Financial Statements'!M26-'Financial Statements'!M24-((IF('Financial Statements'!M22=0,0,('Financial Statements'!M22+'Financial Statements'!M23)/'Financial Statements'!M22))*'Financial Statements'!M21))/(('Financial Statements'!L77+'Financial Statements'!M77)/2)</f>
        <v>0.12860048490807569</v>
      </c>
      <c r="N20" s="39">
        <f>('Financial Statements'!N29-'Financial Statements'!N26-'Financial Statements'!N24-((IF('Financial Statements'!N22=0,0,('Financial Statements'!N22+'Financial Statements'!N23)/'Financial Statements'!N22))*'Financial Statements'!N21))/(('Financial Statements'!M77+'Financial Statements'!N77)/2)</f>
        <v>0.12845488601883354</v>
      </c>
      <c r="O20" s="39">
        <f>('Financial Statements'!O29-'Financial Statements'!O26-'Financial Statements'!O24-((IF('Financial Statements'!O22=0,0,('Financial Statements'!O22+'Financial Statements'!O23)/'Financial Statements'!O22))*'Financial Statements'!O21))/(('Financial Statements'!N77+'Financial Statements'!O77)/2)</f>
        <v>0.12830905092926348</v>
      </c>
      <c r="P20" s="39">
        <f>('Financial Statements'!P29-'Financial Statements'!P26-'Financial Statements'!P24-((IF('Financial Statements'!P22=0,0,('Financial Statements'!P22+'Financial Statements'!P23)/'Financial Statements'!P22))*'Financial Statements'!P21))/(('Financial Statements'!O77+'Financial Statements'!P77)/2)</f>
        <v>0.1281629790641288</v>
      </c>
      <c r="Q20" s="39">
        <f>('Financial Statements'!Q29-'Financial Statements'!Q26-'Financial Statements'!Q24-((IF('Financial Statements'!Q22=0,0,('Financial Statements'!Q22+'Financial Statements'!Q23)/'Financial Statements'!Q22))*'Financial Statements'!Q21))/(('Financial Statements'!P77+'Financial Statements'!Q77)/2)</f>
        <v>0.12801666984632346</v>
      </c>
      <c r="R20" s="39">
        <f>('Financial Statements'!R29-'Financial Statements'!R26-'Financial Statements'!R24-((IF('Financial Statements'!R22=0,0,('Financial Statements'!R22+'Financial Statements'!R23)/'Financial Statements'!R22))*'Financial Statements'!R21))/(('Financial Statements'!Q77+'Financial Statements'!R77)/2)</f>
        <v>0.12801666984632348</v>
      </c>
    </row>
    <row r="21" spans="1:18">
      <c r="A21" t="s">
        <v>515</v>
      </c>
      <c r="B21" s="32"/>
      <c r="C21" s="38">
        <f>'Financial Statements'!C71/(('Financial Statements'!B75+'Financial Statements'!C75)/2)</f>
        <v>0.16773783777864545</v>
      </c>
      <c r="D21" s="38">
        <f>'Financial Statements'!D71/(('Financial Statements'!C75+'Financial Statements'!D75)/2)</f>
        <v>0.15446854445401181</v>
      </c>
      <c r="E21" s="38">
        <f>'Financial Statements'!E71/(('Financial Statements'!D75+'Financial Statements'!E75)/2)</f>
        <v>0.11451394632375335</v>
      </c>
      <c r="F21" s="38">
        <f>'Financial Statements'!F71/(('Financial Statements'!E75+'Financial Statements'!F75)/2)</f>
        <v>0.11474889756462309</v>
      </c>
      <c r="G21" s="39">
        <f>'Financial Statements'!G71/(('Financial Statements'!F75+'Financial Statements'!G75)/2)</f>
        <v>0.11154990144015378</v>
      </c>
      <c r="H21" s="39">
        <f>'Financial Statements'!H71/(('Financial Statements'!G75+'Financial Statements'!H75)/2)</f>
        <v>0.1114352686576367</v>
      </c>
      <c r="I21" s="39">
        <f>'Financial Statements'!I71/(('Financial Statements'!H75+'Financial Statements'!I75)/2)</f>
        <v>0.11132045081076794</v>
      </c>
      <c r="J21" s="39">
        <f>'Financial Statements'!J71/(('Financial Statements'!I75+'Financial Statements'!J75)/2)</f>
        <v>0.11120544745103082</v>
      </c>
      <c r="K21" s="39">
        <f>'Financial Statements'!K71/(('Financial Statements'!J75+'Financial Statements'!K75)/2)</f>
        <v>0.11109025812845805</v>
      </c>
      <c r="L21" s="39">
        <f>'Financial Statements'!L71/(('Financial Statements'!K75+'Financial Statements'!L75)/2)</f>
        <v>0.11097488239162591</v>
      </c>
      <c r="M21" s="39">
        <f>'Financial Statements'!M71/(('Financial Statements'!L75+'Financial Statements'!M75)/2)</f>
        <v>0.11085931978764853</v>
      </c>
      <c r="N21" s="39">
        <f>'Financial Statements'!N71/(('Financial Statements'!M75+'Financial Statements'!N75)/2)</f>
        <v>0.11074356986217172</v>
      </c>
      <c r="O21" s="39">
        <f>'Financial Statements'!O71/(('Financial Statements'!N75+'Financial Statements'!O75)/2)</f>
        <v>0.11062763215936706</v>
      </c>
      <c r="P21" s="39">
        <f>'Financial Statements'!P71/(('Financial Statements'!O75+'Financial Statements'!P75)/2)</f>
        <v>0.11051150622192613</v>
      </c>
      <c r="Q21" s="39">
        <f>'Financial Statements'!Q71/(('Financial Statements'!P75+'Financial Statements'!Q75)/2)</f>
        <v>0.11039519159105435</v>
      </c>
      <c r="R21" s="39">
        <f>'Financial Statements'!R71/(('Financial Statements'!Q75+'Financial Statements'!R75)/2)</f>
        <v>0.11039519159105438</v>
      </c>
    </row>
    <row r="22" spans="1:18">
      <c r="B22" s="32"/>
      <c r="C22" s="38"/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</row>
    <row r="23" spans="1:18">
      <c r="A23" s="76" t="s">
        <v>67</v>
      </c>
      <c r="B23" s="32"/>
      <c r="C23" s="38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>
      <c r="A24" t="s">
        <v>123</v>
      </c>
      <c r="B24" s="38">
        <f>'Financial Statements'!B29/'Financial Statements'!B12</f>
        <v>6.2822441988515776E-2</v>
      </c>
      <c r="C24" s="38">
        <f>'Financial Statements'!C29/'Financial Statements'!C12</f>
        <v>7.1324490240208177E-2</v>
      </c>
      <c r="D24" s="38">
        <f>'Financial Statements'!D29/'Financial Statements'!D12</f>
        <v>6.5792673355051137E-2</v>
      </c>
      <c r="E24" s="38">
        <f>'Financial Statements'!E29/'Financial Statements'!E12</f>
        <v>5.399963390078711E-2</v>
      </c>
      <c r="F24" s="38">
        <f>'Financial Statements'!F29/'Financial Statements'!F12</f>
        <v>5.7690068692513682E-2</v>
      </c>
      <c r="G24" s="39">
        <f>'Financial Statements'!G29/'Financial Statements'!G12</f>
        <v>5.8235926056052892E-2</v>
      </c>
      <c r="H24" s="39">
        <f>'Financial Statements'!H29/'Financial Statements'!H12</f>
        <v>5.8216059924209244E-2</v>
      </c>
      <c r="I24" s="39">
        <f>'Financial Statements'!I29/'Financial Statements'!I12</f>
        <v>5.8196130976155662E-2</v>
      </c>
      <c r="J24" s="39">
        <f>'Financial Statements'!J29/'Financial Statements'!J12</f>
        <v>5.8176138913485498E-2</v>
      </c>
      <c r="K24" s="39">
        <f>'Financial Statements'!K29/'Financial Statements'!K12</f>
        <v>5.8156083435898932E-2</v>
      </c>
      <c r="L24" s="39">
        <f>'Financial Statements'!L29/'Financial Statements'!L12</f>
        <v>5.8135964241188026E-2</v>
      </c>
      <c r="M24" s="39">
        <f>'Financial Statements'!M29/'Financial Statements'!M12</f>
        <v>5.8115781025221601E-2</v>
      </c>
      <c r="N24" s="39">
        <f>'Financial Statements'!N29/'Financial Statements'!N12</f>
        <v>5.8095533481929744E-2</v>
      </c>
      <c r="O24" s="39">
        <f>'Financial Statements'!O29/'Financial Statements'!O12</f>
        <v>5.8075221303288495E-2</v>
      </c>
      <c r="P24" s="39">
        <f>'Financial Statements'!P29/'Financial Statements'!P12</f>
        <v>5.8054844179304156E-2</v>
      </c>
      <c r="Q24" s="39">
        <f>'Financial Statements'!Q29/'Financial Statements'!Q12</f>
        <v>5.8034401797997563E-2</v>
      </c>
      <c r="R24" s="39">
        <f>'Financial Statements'!R29/'Financial Statements'!R12</f>
        <v>5.8034401797997563E-2</v>
      </c>
    </row>
    <row r="25" spans="1:18">
      <c r="A25" t="s">
        <v>122</v>
      </c>
      <c r="B25" s="36"/>
      <c r="C25" s="38">
        <f>'Financial Statements'!C12/(('Financial Statements'!B42+'Financial Statements'!C42)/2)</f>
        <v>1.7086952088891991</v>
      </c>
      <c r="D25" s="38">
        <f>'Financial Statements'!D12/(('Financial Statements'!C42+'Financial Statements'!D42)/2)</f>
        <v>1.6808852941538093</v>
      </c>
      <c r="E25" s="38">
        <f>'Financial Statements'!E12/(('Financial Statements'!D42+'Financial Statements'!E42)/2)</f>
        <v>1.4971168921355096</v>
      </c>
      <c r="F25" s="38">
        <f>'Financial Statements'!F12/(('Financial Statements'!E42+'Financial Statements'!F42)/2)</f>
        <v>1.4026292153180371</v>
      </c>
      <c r="G25" s="39">
        <f>'Financial Statements'!G12/(('Financial Statements'!F42+'Financial Statements'!G42)/2)</f>
        <v>1.3349737381297471</v>
      </c>
      <c r="H25" s="39">
        <f>'Financial Statements'!H12/(('Financial Statements'!G42+'Financial Statements'!H42)/2)</f>
        <v>1.3339448456168894</v>
      </c>
      <c r="I25" s="39">
        <f>'Financial Statements'!I12/(('Financial Statements'!H42+'Financial Statements'!I42)/2)</f>
        <v>1.3329142920493009</v>
      </c>
      <c r="J25" s="39">
        <f>'Financial Statements'!J12/(('Financial Statements'!I42+'Financial Statements'!J42)/2)</f>
        <v>1.3318820734012946</v>
      </c>
      <c r="K25" s="39">
        <f>'Financial Statements'!K12/(('Financial Statements'!J42+'Financial Statements'!K42)/2)</f>
        <v>1.330848185634167</v>
      </c>
      <c r="L25" s="39">
        <f>'Financial Statements'!L12/(('Financial Statements'!K42+'Financial Statements'!L42)/2)</f>
        <v>1.3298126246961404</v>
      </c>
      <c r="M25" s="39">
        <f>'Financial Statements'!M12/(('Financial Statements'!L42+'Financial Statements'!M42)/2)</f>
        <v>1.3287753865223144</v>
      </c>
      <c r="N25" s="39">
        <f>'Financial Statements'!N12/(('Financial Statements'!M42+'Financial Statements'!N42)/2)</f>
        <v>1.327736467034609</v>
      </c>
      <c r="O25" s="39">
        <f>'Financial Statements'!O12/(('Financial Statements'!N42+'Financial Statements'!O42)/2)</f>
        <v>1.3266958621417131</v>
      </c>
      <c r="P25" s="39">
        <f>'Financial Statements'!P12/(('Financial Statements'!O42+'Financial Statements'!P42)/2)</f>
        <v>1.3256535677390302</v>
      </c>
      <c r="Q25" s="39">
        <f>'Financial Statements'!Q12/(('Financial Statements'!P42+'Financial Statements'!Q42)/2)</f>
        <v>1.3246095797086259</v>
      </c>
      <c r="R25" s="39">
        <f>'Financial Statements'!R12/(('Financial Statements'!Q42+'Financial Statements'!R42)/2)</f>
        <v>1.3246095797086259</v>
      </c>
    </row>
    <row r="26" spans="1:18">
      <c r="A26" t="s">
        <v>124</v>
      </c>
      <c r="B26" s="36"/>
      <c r="C26" s="38">
        <f>('Financial Statements'!B58+'Financial Statements'!C58)/('Financial Statements'!B57+'Financial Statements'!C57)</f>
        <v>1.5737942395175115</v>
      </c>
      <c r="D26" s="38">
        <f>('Financial Statements'!C58+'Financial Statements'!D58)/('Financial Statements'!C57+'Financial Statements'!D57)</f>
        <v>1.6746059247511191</v>
      </c>
      <c r="E26" s="38">
        <f>('Financial Statements'!D58+'Financial Statements'!E58)/('Financial Statements'!D57+'Financial Statements'!E57)</f>
        <v>1.7050664988240818</v>
      </c>
      <c r="F26" s="38">
        <f>('Financial Statements'!E58+'Financial Statements'!F58)/('Financial Statements'!E57+'Financial Statements'!F57)</f>
        <v>1.6785910087719298</v>
      </c>
      <c r="G26" s="39">
        <f>('Financial Statements'!F58+'Financial Statements'!G58)/('Financial Statements'!F57+'Financial Statements'!G57)</f>
        <v>1.6757926906914555</v>
      </c>
      <c r="H26" s="39">
        <f>('Financial Statements'!G58+'Financial Statements'!H58)/('Financial Statements'!G57+'Financial Statements'!H57)</f>
        <v>1.6757926906914558</v>
      </c>
      <c r="I26" s="39">
        <f>('Financial Statements'!H58+'Financial Statements'!I58)/('Financial Statements'!H57+'Financial Statements'!I57)</f>
        <v>1.6757926906914555</v>
      </c>
      <c r="J26" s="39">
        <f>('Financial Statements'!I58+'Financial Statements'!J58)/('Financial Statements'!I57+'Financial Statements'!J57)</f>
        <v>1.6757926906914558</v>
      </c>
      <c r="K26" s="39">
        <f>('Financial Statements'!J58+'Financial Statements'!K58)/('Financial Statements'!J57+'Financial Statements'!K57)</f>
        <v>1.6757926906914553</v>
      </c>
      <c r="L26" s="39">
        <f>('Financial Statements'!K58+'Financial Statements'!L58)/('Financial Statements'!K57+'Financial Statements'!L57)</f>
        <v>1.6757926906914553</v>
      </c>
      <c r="M26" s="39">
        <f>('Financial Statements'!L58+'Financial Statements'!M58)/('Financial Statements'!L57+'Financial Statements'!M57)</f>
        <v>1.6757926906914555</v>
      </c>
      <c r="N26" s="39">
        <f>('Financial Statements'!M58+'Financial Statements'!N58)/('Financial Statements'!M57+'Financial Statements'!N57)</f>
        <v>1.6757926906914555</v>
      </c>
      <c r="O26" s="39">
        <f>('Financial Statements'!N58+'Financial Statements'!O58)/('Financial Statements'!N57+'Financial Statements'!O57)</f>
        <v>1.6757926906914555</v>
      </c>
      <c r="P26" s="39">
        <f>('Financial Statements'!O58+'Financial Statements'!P58)/('Financial Statements'!O57+'Financial Statements'!P57)</f>
        <v>1.6757926906914553</v>
      </c>
      <c r="Q26" s="39">
        <f>('Financial Statements'!P58+'Financial Statements'!Q58)/('Financial Statements'!P57+'Financial Statements'!Q57)</f>
        <v>1.6757926906914555</v>
      </c>
      <c r="R26" s="39">
        <f>('Financial Statements'!Q58+'Financial Statements'!R58)/('Financial Statements'!Q57+'Financial Statements'!R57)</f>
        <v>1.6757926906914558</v>
      </c>
    </row>
    <row r="27" spans="1:18">
      <c r="A27" s="205" t="s">
        <v>160</v>
      </c>
      <c r="B27" s="32"/>
      <c r="C27" s="38">
        <f>C24*C25*C26</f>
        <v>0.19180116001295075</v>
      </c>
      <c r="D27" s="38">
        <f>D24*D25*D26</f>
        <v>0.18519456389484221</v>
      </c>
      <c r="E27" s="38">
        <f>E24*E25*E26</f>
        <v>0.13784399377505868</v>
      </c>
      <c r="F27" s="38">
        <f>F24*F25*F26</f>
        <v>0.13582785087719298</v>
      </c>
      <c r="G27" s="39">
        <f>G24*G25*G26</f>
        <v>0.13028187492812091</v>
      </c>
      <c r="H27" s="39">
        <f t="shared" ref="H27:P27" si="0">H24*H25*H26</f>
        <v>0.13013705488032362</v>
      </c>
      <c r="I27" s="39">
        <f t="shared" si="0"/>
        <v>0.12999200103354086</v>
      </c>
      <c r="J27" s="39">
        <f t="shared" si="0"/>
        <v>0.1298467128211441</v>
      </c>
      <c r="K27" s="39">
        <f t="shared" si="0"/>
        <v>0.12970118967467209</v>
      </c>
      <c r="L27" s="39">
        <f t="shared" si="0"/>
        <v>0.12955543102382377</v>
      </c>
      <c r="M27" s="39">
        <f t="shared" si="0"/>
        <v>0.12940943629645091</v>
      </c>
      <c r="N27" s="39">
        <f t="shared" si="0"/>
        <v>0.12926320491855001</v>
      </c>
      <c r="O27" s="39">
        <f t="shared" si="0"/>
        <v>0.12911673631425552</v>
      </c>
      <c r="P27" s="39">
        <f t="shared" si="0"/>
        <v>0.12897002990583176</v>
      </c>
      <c r="Q27" s="39">
        <f>Q24*Q25*Q26</f>
        <v>0.12882308511366586</v>
      </c>
      <c r="R27" s="39">
        <f>R24*R25*R26</f>
        <v>0.12882308511366586</v>
      </c>
    </row>
    <row r="28" spans="1:18">
      <c r="A28" s="205"/>
      <c r="B28" s="32"/>
      <c r="C28" s="38"/>
      <c r="D28" s="38"/>
      <c r="E28" s="38"/>
      <c r="F28" s="38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18">
      <c r="A29" s="76" t="s">
        <v>68</v>
      </c>
      <c r="B29" s="32"/>
      <c r="C29" s="38"/>
      <c r="D29" s="38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>
      <c r="A30" t="s">
        <v>161</v>
      </c>
      <c r="B30" s="38">
        <f>'Financial Statements'!B71/'Financial Statements'!B12</f>
        <v>6.6528097337696809E-2</v>
      </c>
      <c r="C30" s="38">
        <f>'Financial Statements'!C71/'Financial Statements'!C12</f>
        <v>7.4316111752911002E-2</v>
      </c>
      <c r="D30" s="38">
        <f>'Financial Statements'!D71/'Financial Statements'!D12</f>
        <v>6.9520743940537991E-2</v>
      </c>
      <c r="E30" s="38">
        <f>'Financial Statements'!E71/'Financial Statements'!E12</f>
        <v>5.9304861091039877E-2</v>
      </c>
      <c r="F30" s="38">
        <f>'Financial Statements'!F71/'Financial Statements'!F12</f>
        <v>6.2558122347927306E-2</v>
      </c>
      <c r="G30" s="39">
        <f>'Financial Statements'!G71/'Financial Statements'!G12</f>
        <v>6.2993542066371436E-2</v>
      </c>
      <c r="H30" s="39">
        <f>'Financial Statements'!H71/'Financial Statements'!H12</f>
        <v>6.2977345558131906E-2</v>
      </c>
      <c r="I30" s="39">
        <f>'Financial Statements'!I71/'Financial Statements'!I12</f>
        <v>6.2961097836940108E-2</v>
      </c>
      <c r="J30" s="39">
        <f>'Financial Statements'!J71/'Financial Statements'!J12</f>
        <v>6.2944798659510345E-2</v>
      </c>
      <c r="K30" s="39">
        <f>'Financial Statements'!K71/'Financial Statements'!K12</f>
        <v>6.2928447781013475E-2</v>
      </c>
      <c r="L30" s="39">
        <f>'Financial Statements'!L71/'Financial Statements'!L12</f>
        <v>6.2912044955064639E-2</v>
      </c>
      <c r="M30" s="39">
        <f>'Financial Statements'!M71/'Financial Statements'!M12</f>
        <v>6.2895589933711055E-2</v>
      </c>
      <c r="N30" s="39">
        <f>'Financial Statements'!N71/'Financial Statements'!N12</f>
        <v>6.2879082467419287E-2</v>
      </c>
      <c r="O30" s="39">
        <f>'Financial Statements'!O71/'Financial Statements'!O12</f>
        <v>6.2862522305062826E-2</v>
      </c>
      <c r="P30" s="39">
        <f>'Financial Statements'!P71/'Financial Statements'!P12</f>
        <v>6.2845909193909241E-2</v>
      </c>
      <c r="Q30" s="39">
        <f>'Financial Statements'!Q71/'Financial Statements'!Q12</f>
        <v>6.2829242879607408E-2</v>
      </c>
      <c r="R30" s="39">
        <f>'Financial Statements'!R71/'Financial Statements'!R12</f>
        <v>6.2829242879607408E-2</v>
      </c>
    </row>
    <row r="31" spans="1:18">
      <c r="A31" t="s">
        <v>149</v>
      </c>
      <c r="B31" s="32"/>
      <c r="C31" s="38">
        <f>'Financial Statements'!C12/(('Financial Statements'!B75+'Financial Statements'!C75)/2)</f>
        <v>2.257085762725942</v>
      </c>
      <c r="D31" s="38">
        <f>'Financial Statements'!D12/(('Financial Statements'!C75+'Financial Statements'!D75)/2)</f>
        <v>2.2219058039156026</v>
      </c>
      <c r="E31" s="38">
        <f>'Financial Statements'!E12/(('Financial Statements'!D75+'Financial Statements'!E75)/2)</f>
        <v>1.930936928559045</v>
      </c>
      <c r="F31" s="38">
        <f>'Financial Statements'!F12/(('Financial Statements'!E75+'Financial Statements'!F75)/2)</f>
        <v>1.8342765616657768</v>
      </c>
      <c r="G31" s="39">
        <f>'Financial Statements'!G12/(('Financial Statements'!F75+'Financial Statements'!G75)/2)</f>
        <v>1.7708148769063068</v>
      </c>
      <c r="H31" s="39">
        <f>'Financial Statements'!H12/(('Financial Statements'!G75+'Financial Statements'!H75)/2)</f>
        <v>1.7694500724038167</v>
      </c>
      <c r="I31" s="39">
        <f>'Financial Statements'!I12/(('Financial Statements'!H75+'Financial Statements'!I75)/2)</f>
        <v>1.7680830645467995</v>
      </c>
      <c r="J31" s="39">
        <f>'Financial Statements'!J12/(('Financial Statements'!I75+'Financial Statements'!J75)/2)</f>
        <v>1.7667138479952664</v>
      </c>
      <c r="K31" s="39">
        <f>'Financial Statements'!K12/(('Financial Statements'!J75+'Financial Statements'!K75)/2)</f>
        <v>1.7653424173919601</v>
      </c>
      <c r="L31" s="39">
        <f>'Financial Statements'!L12/(('Financial Statements'!K75+'Financial Statements'!L75)/2)</f>
        <v>1.7639687673622828</v>
      </c>
      <c r="M31" s="39">
        <f>'Financial Statements'!M12/(('Financial Statements'!L75+'Financial Statements'!M75)/2)</f>
        <v>1.762592892514228</v>
      </c>
      <c r="N31" s="39">
        <f>'Financial Statements'!N12/(('Financial Statements'!M75+'Financial Statements'!N75)/2)</f>
        <v>1.7612147874383084</v>
      </c>
      <c r="O31" s="39">
        <f>'Financial Statements'!O12/(('Financial Statements'!N75+'Financial Statements'!O75)/2)</f>
        <v>1.7598344467074833</v>
      </c>
      <c r="P31" s="39">
        <f>'Financial Statements'!P12/(('Financial Statements'!O75+'Financial Statements'!P75)/2)</f>
        <v>1.7584518648770926</v>
      </c>
      <c r="Q31" s="39">
        <f>'Financial Statements'!Q12/(('Financial Statements'!P75+'Financial Statements'!Q75)/2)</f>
        <v>1.7570670364847814</v>
      </c>
      <c r="R31" s="39">
        <f>'Financial Statements'!R12/(('Financial Statements'!Q75+'Financial Statements'!R75)/2)</f>
        <v>1.7570670364847818</v>
      </c>
    </row>
    <row r="32" spans="1:18">
      <c r="A32" s="205" t="s">
        <v>257</v>
      </c>
      <c r="B32" s="32"/>
      <c r="C32" s="38">
        <f>C30*C31</f>
        <v>0.16773783777864545</v>
      </c>
      <c r="D32" s="38">
        <f>D30*D31</f>
        <v>0.15446854445401181</v>
      </c>
      <c r="E32" s="38">
        <f>E30*E31</f>
        <v>0.11451394632375335</v>
      </c>
      <c r="F32" s="38">
        <f>F30*F31</f>
        <v>0.11474889756462309</v>
      </c>
      <c r="G32" s="39">
        <f>G30*G31</f>
        <v>0.1115499014401538</v>
      </c>
      <c r="H32" s="39">
        <f t="shared" ref="H32:R32" si="1">H30*H31</f>
        <v>0.11143526865763669</v>
      </c>
      <c r="I32" s="39">
        <f t="shared" si="1"/>
        <v>0.11132045081076794</v>
      </c>
      <c r="J32" s="39">
        <f t="shared" si="1"/>
        <v>0.11120544745103081</v>
      </c>
      <c r="K32" s="39">
        <f t="shared" si="1"/>
        <v>0.11109025812845805</v>
      </c>
      <c r="L32" s="39">
        <f t="shared" si="1"/>
        <v>0.1109748823916259</v>
      </c>
      <c r="M32" s="39">
        <f t="shared" si="1"/>
        <v>0.11085931978764853</v>
      </c>
      <c r="N32" s="39">
        <f t="shared" si="1"/>
        <v>0.11074356986217172</v>
      </c>
      <c r="O32" s="39">
        <f t="shared" si="1"/>
        <v>0.11062763215936706</v>
      </c>
      <c r="P32" s="39">
        <f t="shared" si="1"/>
        <v>0.11051150622192613</v>
      </c>
      <c r="Q32" s="39">
        <f t="shared" si="1"/>
        <v>0.11039519159105433</v>
      </c>
      <c r="R32" s="39">
        <f t="shared" si="1"/>
        <v>0.11039519159105436</v>
      </c>
    </row>
    <row r="33" spans="1:18">
      <c r="A33" s="25" t="s">
        <v>321</v>
      </c>
      <c r="B33" s="32"/>
      <c r="C33" s="38">
        <f>-'Financial Statements'!C72/(('Financial Statements'!B76+'Financial Statements'!C76)/2)</f>
        <v>4.2027576175085506E-2</v>
      </c>
      <c r="D33" s="38">
        <f>-'Financial Statements'!D72/(('Financial Statements'!C76+'Financial Statements'!D76)/2)</f>
        <v>3.932495878533622E-2</v>
      </c>
      <c r="E33" s="38">
        <f>-'Financial Statements'!E72/(('Financial Statements'!D76+'Financial Statements'!E76)/2)</f>
        <v>4.2058662567118189E-2</v>
      </c>
      <c r="F33" s="38">
        <f>-'Financial Statements'!F72/(('Financial Statements'!E76+'Financial Statements'!F76)/2)</f>
        <v>4.0417315462878307E-2</v>
      </c>
      <c r="G33" s="39">
        <f>-'Financial Statements'!G72/(('Financial Statements'!F76+'Financial Statements'!G76)/2)</f>
        <v>4.0417315462878314E-2</v>
      </c>
      <c r="H33" s="39">
        <f>-'Financial Statements'!H72/(('Financial Statements'!G76+'Financial Statements'!H76)/2)</f>
        <v>4.0417315462878307E-2</v>
      </c>
      <c r="I33" s="39">
        <f>-'Financial Statements'!I72/(('Financial Statements'!H76+'Financial Statements'!I76)/2)</f>
        <v>4.0417315462878307E-2</v>
      </c>
      <c r="J33" s="39">
        <f>-'Financial Statements'!J72/(('Financial Statements'!I76+'Financial Statements'!J76)/2)</f>
        <v>4.0417315462878307E-2</v>
      </c>
      <c r="K33" s="39">
        <f>-'Financial Statements'!K72/(('Financial Statements'!J76+'Financial Statements'!K76)/2)</f>
        <v>4.0417315462878314E-2</v>
      </c>
      <c r="L33" s="39">
        <f>-'Financial Statements'!L72/(('Financial Statements'!K76+'Financial Statements'!L76)/2)</f>
        <v>4.0417315462878307E-2</v>
      </c>
      <c r="M33" s="39">
        <f>-'Financial Statements'!M72/(('Financial Statements'!L76+'Financial Statements'!M76)/2)</f>
        <v>4.0417315462878307E-2</v>
      </c>
      <c r="N33" s="39">
        <f>-'Financial Statements'!N72/(('Financial Statements'!M76+'Financial Statements'!N76)/2)</f>
        <v>4.04173154628783E-2</v>
      </c>
      <c r="O33" s="39">
        <f>-'Financial Statements'!O72/(('Financial Statements'!N76+'Financial Statements'!O76)/2)</f>
        <v>4.0417315462878314E-2</v>
      </c>
      <c r="P33" s="39">
        <f>-'Financial Statements'!P72/(('Financial Statements'!O76+'Financial Statements'!P76)/2)</f>
        <v>4.0417315462878314E-2</v>
      </c>
      <c r="Q33" s="39">
        <f>-'Financial Statements'!Q72/(('Financial Statements'!P76+'Financial Statements'!Q76)/2)</f>
        <v>4.0417315462878314E-2</v>
      </c>
      <c r="R33" s="39">
        <f>-'Financial Statements'!R72/(('Financial Statements'!Q76+'Financial Statements'!R76)/2)</f>
        <v>4.0417315462878314E-2</v>
      </c>
    </row>
    <row r="34" spans="1:18">
      <c r="A34" s="25" t="s">
        <v>322</v>
      </c>
      <c r="B34" s="32"/>
      <c r="C34" s="38">
        <f>C32-C33</f>
        <v>0.12571026160355994</v>
      </c>
      <c r="D34" s="38">
        <f>D32-D33</f>
        <v>0.11514358566867559</v>
      </c>
      <c r="E34" s="38">
        <f>E32-E33</f>
        <v>7.2455283756635153E-2</v>
      </c>
      <c r="F34" s="38">
        <f>F32-F33</f>
        <v>7.4331582101744786E-2</v>
      </c>
      <c r="G34" s="39">
        <f>G32-G33</f>
        <v>7.1132585977275481E-2</v>
      </c>
      <c r="H34" s="39">
        <f t="shared" ref="H34:R34" si="2">H32-H33</f>
        <v>7.1017953194758371E-2</v>
      </c>
      <c r="I34" s="39">
        <f t="shared" si="2"/>
        <v>7.090313534788964E-2</v>
      </c>
      <c r="J34" s="39">
        <f t="shared" si="2"/>
        <v>7.0788131988152508E-2</v>
      </c>
      <c r="K34" s="39">
        <f t="shared" si="2"/>
        <v>7.0672942665579733E-2</v>
      </c>
      <c r="L34" s="39">
        <f t="shared" si="2"/>
        <v>7.0557566928747595E-2</v>
      </c>
      <c r="M34" s="39">
        <f t="shared" si="2"/>
        <v>7.0442004324770213E-2</v>
      </c>
      <c r="N34" s="39">
        <f t="shared" si="2"/>
        <v>7.0326254399293422E-2</v>
      </c>
      <c r="O34" s="39">
        <f t="shared" si="2"/>
        <v>7.021031669648875E-2</v>
      </c>
      <c r="P34" s="39">
        <f t="shared" si="2"/>
        <v>7.0094190759047811E-2</v>
      </c>
      <c r="Q34" s="39">
        <f t="shared" si="2"/>
        <v>6.997787612817602E-2</v>
      </c>
      <c r="R34" s="39">
        <f t="shared" si="2"/>
        <v>6.9977876128176048E-2</v>
      </c>
    </row>
    <row r="35" spans="1:18">
      <c r="A35" s="25" t="s">
        <v>516</v>
      </c>
      <c r="B35" s="32"/>
      <c r="C35" s="38">
        <f>('Financial Statements'!B76+'Financial Statements'!C76)/('Financial Statements'!B77+'Financial Statements'!C77)</f>
        <v>0.19141891781429429</v>
      </c>
      <c r="D35" s="38">
        <f>('Financial Statements'!C76+'Financial Statements'!D76)/('Financial Statements'!C77+'Financial Statements'!D77)</f>
        <v>0.26684959706955952</v>
      </c>
      <c r="E35" s="38">
        <f>('Financial Statements'!D76+'Financial Statements'!E76)/('Financial Statements'!D77+'Financial Statements'!E77)</f>
        <v>0.32199235503192492</v>
      </c>
      <c r="F35" s="38">
        <f>('Financial Statements'!E76+'Financial Statements'!F76)/('Financial Statements'!E77+'Financial Statements'!F77)</f>
        <v>0.28358004385964913</v>
      </c>
      <c r="G35" s="39">
        <f>('Financial Statements'!F76+'Financial Statements'!G76)/('Financial Statements'!F77+'Financial Statements'!G77)</f>
        <v>0.26333885139437158</v>
      </c>
      <c r="H35" s="39">
        <f>('Financial Statements'!G76+'Financial Statements'!H76)/('Financial Statements'!G77+'Financial Statements'!H77)</f>
        <v>0.26333885139437163</v>
      </c>
      <c r="I35" s="39">
        <f>('Financial Statements'!H76+'Financial Statements'!I76)/('Financial Statements'!H77+'Financial Statements'!I77)</f>
        <v>0.26333885139437158</v>
      </c>
      <c r="J35" s="39">
        <f>('Financial Statements'!I76+'Financial Statements'!J76)/('Financial Statements'!I77+'Financial Statements'!J77)</f>
        <v>0.26333885139437158</v>
      </c>
      <c r="K35" s="39">
        <f>('Financial Statements'!J76+'Financial Statements'!K76)/('Financial Statements'!J77+'Financial Statements'!K77)</f>
        <v>0.26333885139437158</v>
      </c>
      <c r="L35" s="39">
        <f>('Financial Statements'!K76+'Financial Statements'!L76)/('Financial Statements'!K77+'Financial Statements'!L77)</f>
        <v>0.26333885139437152</v>
      </c>
      <c r="M35" s="39">
        <f>('Financial Statements'!L76+'Financial Statements'!M76)/('Financial Statements'!L77+'Financial Statements'!M77)</f>
        <v>0.26333885139437158</v>
      </c>
      <c r="N35" s="39">
        <f>('Financial Statements'!M76+'Financial Statements'!N76)/('Financial Statements'!M77+'Financial Statements'!N77)</f>
        <v>0.26333885139437158</v>
      </c>
      <c r="O35" s="39">
        <f>('Financial Statements'!N76+'Financial Statements'!O76)/('Financial Statements'!N77+'Financial Statements'!O77)</f>
        <v>0.26333885139437158</v>
      </c>
      <c r="P35" s="39">
        <f>('Financial Statements'!O76+'Financial Statements'!P76)/('Financial Statements'!O77+'Financial Statements'!P77)</f>
        <v>0.26333885139437158</v>
      </c>
      <c r="Q35" s="39">
        <f>('Financial Statements'!P76+'Financial Statements'!Q76)/('Financial Statements'!P77+'Financial Statements'!Q77)</f>
        <v>0.26333885139437158</v>
      </c>
      <c r="R35" s="39">
        <f>('Financial Statements'!Q76+'Financial Statements'!R76)/('Financial Statements'!Q77+'Financial Statements'!R77)</f>
        <v>0.26333885139437158</v>
      </c>
    </row>
    <row r="36" spans="1:18">
      <c r="A36" t="s">
        <v>316</v>
      </c>
      <c r="B36" s="32"/>
      <c r="C36" s="38">
        <f>C32+(C35*C34)</f>
        <v>0.19180116001295072</v>
      </c>
      <c r="D36" s="38">
        <f>D32+(D35*D34)</f>
        <v>0.18519456389484221</v>
      </c>
      <c r="E36" s="38">
        <f>E32+(E35*E34)</f>
        <v>0.13784399377505868</v>
      </c>
      <c r="F36" s="38">
        <f>F32+(F35*F34)</f>
        <v>0.13582785087719298</v>
      </c>
      <c r="G36" s="39">
        <f>G32+(G35*G34)</f>
        <v>0.13028187492812091</v>
      </c>
      <c r="H36" s="39">
        <f t="shared" ref="H36:R36" si="3">H32+(H35*H34)</f>
        <v>0.13013705488032359</v>
      </c>
      <c r="I36" s="39">
        <f t="shared" si="3"/>
        <v>0.12999200103354086</v>
      </c>
      <c r="J36" s="39">
        <f t="shared" si="3"/>
        <v>0.12984671282114407</v>
      </c>
      <c r="K36" s="39">
        <f t="shared" si="3"/>
        <v>0.12970118967467209</v>
      </c>
      <c r="L36" s="39">
        <f t="shared" si="3"/>
        <v>0.12955543102382377</v>
      </c>
      <c r="M36" s="39">
        <f t="shared" si="3"/>
        <v>0.12940943629645088</v>
      </c>
      <c r="N36" s="39">
        <f t="shared" si="3"/>
        <v>0.12926320491855003</v>
      </c>
      <c r="O36" s="39">
        <f t="shared" si="3"/>
        <v>0.12911673631425549</v>
      </c>
      <c r="P36" s="39">
        <f t="shared" si="3"/>
        <v>0.12897002990583176</v>
      </c>
      <c r="Q36" s="39">
        <f t="shared" si="3"/>
        <v>0.12882308511366583</v>
      </c>
      <c r="R36" s="39">
        <f t="shared" si="3"/>
        <v>0.12882308511366586</v>
      </c>
    </row>
    <row r="37" spans="1:18">
      <c r="B37" s="32"/>
      <c r="C37" s="32"/>
      <c r="D37" s="32"/>
      <c r="E37" s="38"/>
      <c r="F37" s="38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>
      <c r="B38" s="32"/>
      <c r="C38" s="32"/>
      <c r="D38" s="32"/>
      <c r="E38" s="38"/>
      <c r="F38" s="38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</row>
    <row r="39" spans="1:18">
      <c r="A39" s="76" t="s">
        <v>294</v>
      </c>
      <c r="B39" s="36"/>
      <c r="C39" s="36"/>
      <c r="D39" s="36"/>
      <c r="E39" s="38"/>
      <c r="F39" s="38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</row>
    <row r="40" spans="1:18">
      <c r="A40" t="s">
        <v>348</v>
      </c>
      <c r="B40" s="38">
        <f>'Financial Statements'!B14/'Financial Statements'!B12</f>
        <v>0.35305599066184351</v>
      </c>
      <c r="C40" s="38">
        <f>'Financial Statements'!C14/'Financial Statements'!C12</f>
        <v>0.36371616548028513</v>
      </c>
      <c r="D40" s="38">
        <f>'Financial Statements'!D14/'Financial Statements'!D12</f>
        <v>0.36507721928738196</v>
      </c>
      <c r="E40" s="38">
        <f>'Financial Statements'!E14/'Financial Statements'!E12</f>
        <v>0.36945512233815364</v>
      </c>
      <c r="F40" s="38">
        <f>'Financial Statements'!F14/'Financial Statements'!F12</f>
        <v>0.3782745371987426</v>
      </c>
      <c r="G40" s="24">
        <f>'Financial Statements'!G14/'Financial Statements'!G12</f>
        <v>0.3782745371987426</v>
      </c>
      <c r="H40" s="24">
        <f>'Financial Statements'!H14/'Financial Statements'!H12</f>
        <v>0.3782745371987426</v>
      </c>
      <c r="I40" s="24">
        <f>'Financial Statements'!I14/'Financial Statements'!I12</f>
        <v>0.37827453719874254</v>
      </c>
      <c r="J40" s="24">
        <f>'Financial Statements'!J14/'Financial Statements'!J12</f>
        <v>0.3782745371987426</v>
      </c>
      <c r="K40" s="24">
        <f>'Financial Statements'!K14/'Financial Statements'!K12</f>
        <v>0.37827453719874254</v>
      </c>
      <c r="L40" s="24">
        <f>'Financial Statements'!L14/'Financial Statements'!L12</f>
        <v>0.37827453719874254</v>
      </c>
      <c r="M40" s="24">
        <f>'Financial Statements'!M14/'Financial Statements'!M12</f>
        <v>0.3782745371987426</v>
      </c>
      <c r="N40" s="24">
        <f>'Financial Statements'!N14/'Financial Statements'!N12</f>
        <v>0.3782745371987426</v>
      </c>
      <c r="O40" s="24">
        <f>'Financial Statements'!O14/'Financial Statements'!O12</f>
        <v>0.3782745371987426</v>
      </c>
      <c r="P40" s="24">
        <f>'Financial Statements'!P14/'Financial Statements'!P12</f>
        <v>0.3782745371987426</v>
      </c>
      <c r="Q40" s="24">
        <f>'Financial Statements'!Q14/'Financial Statements'!Q12</f>
        <v>0.3782745371987426</v>
      </c>
      <c r="R40" s="24">
        <f>'Financial Statements'!R14/'Financial Statements'!R12</f>
        <v>0.37827453719874266</v>
      </c>
    </row>
    <row r="41" spans="1:18">
      <c r="A41" t="s">
        <v>319</v>
      </c>
      <c r="B41" s="38">
        <f>'Financial Statements'!B17/'Financial Statements'!B12</f>
        <v>0.12862730099057493</v>
      </c>
      <c r="C41" s="38">
        <f>'Financial Statements'!C17/'Financial Statements'!C12</f>
        <v>0.1416912589300281</v>
      </c>
      <c r="D41" s="38">
        <f>'Financial Statements'!D17/'Financial Statements'!D12</f>
        <v>0.13698303007684839</v>
      </c>
      <c r="E41" s="38">
        <f>'Financial Statements'!E17/'Financial Statements'!E12</f>
        <v>0.12673134419427665</v>
      </c>
      <c r="F41" s="38">
        <f>'Financial Statements'!F17/'Financial Statements'!F12</f>
        <v>0.13400861567120737</v>
      </c>
      <c r="G41" s="24">
        <f>'Financial Statements'!G17/'Financial Statements'!G12</f>
        <v>0.13400861567120737</v>
      </c>
      <c r="H41" s="24">
        <f>'Financial Statements'!H17/'Financial Statements'!H12</f>
        <v>0.13400861567120737</v>
      </c>
      <c r="I41" s="24">
        <f>'Financial Statements'!I17/'Financial Statements'!I12</f>
        <v>0.13400861567120734</v>
      </c>
      <c r="J41" s="24">
        <f>'Financial Statements'!J17/'Financial Statements'!J12</f>
        <v>0.13400861567120737</v>
      </c>
      <c r="K41" s="24">
        <f>'Financial Statements'!K17/'Financial Statements'!K12</f>
        <v>0.13400861567120737</v>
      </c>
      <c r="L41" s="24">
        <f>'Financial Statements'!L17/'Financial Statements'!L12</f>
        <v>0.13400861567120737</v>
      </c>
      <c r="M41" s="24">
        <f>'Financial Statements'!M17/'Financial Statements'!M12</f>
        <v>0.13400861567120739</v>
      </c>
      <c r="N41" s="24">
        <f>'Financial Statements'!N17/'Financial Statements'!N12</f>
        <v>0.13400861567120737</v>
      </c>
      <c r="O41" s="24">
        <f>'Financial Statements'!O17/'Financial Statements'!O12</f>
        <v>0.13400861567120737</v>
      </c>
      <c r="P41" s="24">
        <f>'Financial Statements'!P17/'Financial Statements'!P12</f>
        <v>0.13400861567120739</v>
      </c>
      <c r="Q41" s="24">
        <f>'Financial Statements'!Q17/'Financial Statements'!Q12</f>
        <v>0.13400861567120742</v>
      </c>
      <c r="R41" s="24">
        <f>'Financial Statements'!R17/'Financial Statements'!R12</f>
        <v>0.13400861567120745</v>
      </c>
    </row>
    <row r="42" spans="1:18">
      <c r="A42" t="s">
        <v>320</v>
      </c>
      <c r="B42" s="38">
        <f>'Financial Statements'!B19/'Financial Statements'!B12</f>
        <v>0.10566766677483284</v>
      </c>
      <c r="C42" s="38">
        <f>'Financial Statements'!C19/'Financial Statements'!C12</f>
        <v>0.11675112698099817</v>
      </c>
      <c r="D42" s="38">
        <f>'Financial Statements'!D19/'Financial Statements'!D12</f>
        <v>0.10953661143247791</v>
      </c>
      <c r="E42" s="38">
        <f>'Financial Statements'!E19/'Financial Statements'!E12</f>
        <v>9.3721398498993233E-2</v>
      </c>
      <c r="F42" s="38">
        <f>'Financial Statements'!F19/'Financial Statements'!F12</f>
        <v>9.9662358831062989E-2</v>
      </c>
      <c r="G42" s="24">
        <f>'Financial Statements'!G19/'Financial Statements'!G12</f>
        <v>0.10036008487837809</v>
      </c>
      <c r="H42" s="24">
        <f>'Financial Statements'!H19/'Financial Statements'!H12</f>
        <v>0.10033413124055331</v>
      </c>
      <c r="I42" s="24">
        <f>'Financial Statements'!I19/'Financial Statements'!I12</f>
        <v>0.10030809553797754</v>
      </c>
      <c r="J42" s="24">
        <f>'Financial Statements'!J19/'Financial Statements'!J12</f>
        <v>0.10028197738080455</v>
      </c>
      <c r="K42" s="24">
        <f>'Financial Statements'!K19/'Financial Statements'!K12</f>
        <v>0.10025577637671469</v>
      </c>
      <c r="L42" s="24">
        <f>'Financial Statements'!L19/'Financial Statements'!L12</f>
        <v>0.10022949213089559</v>
      </c>
      <c r="M42" s="24">
        <f>'Financial Statements'!M19/'Financial Statements'!M12</f>
        <v>0.10020312424602223</v>
      </c>
      <c r="N42" s="24">
        <f>'Financial Statements'!N19/'Financial Statements'!N12</f>
        <v>0.1001766723222368</v>
      </c>
      <c r="O42" s="24">
        <f>'Financial Statements'!O19/'Financial Statements'!O12</f>
        <v>0.10015013595712879</v>
      </c>
      <c r="P42" s="24">
        <f>'Financial Statements'!P19/'Financial Statements'!P12</f>
        <v>0.10012351474571417</v>
      </c>
      <c r="Q42" s="24">
        <f>'Financial Statements'!Q19/'Financial Statements'!Q12</f>
        <v>0.10009680828041517</v>
      </c>
      <c r="R42" s="24">
        <f>'Financial Statements'!R19/'Financial Statements'!R12</f>
        <v>0.10009680828041519</v>
      </c>
    </row>
    <row r="43" spans="1:18">
      <c r="A43" t="s">
        <v>461</v>
      </c>
      <c r="B43" s="38">
        <f>('Financial Statements'!B71-'Financial Statements'!B21*(1-'Forecasting Assumptions'!B21)-'Financial Statements'!B26-'Financial Statements'!B24)/'Financial Statements'!B12</f>
        <v>6.6108344331387708E-2</v>
      </c>
      <c r="C43" s="38">
        <f>('Financial Statements'!C71-'Financial Statements'!C21*(1-'Forecasting Assumptions'!C21)-'Financial Statements'!C26-'Financial Statements'!C24)/'Financial Statements'!C12</f>
        <v>7.2946614976750493E-2</v>
      </c>
      <c r="D43" s="38">
        <f>('Financial Statements'!D71-'Financial Statements'!D21*(1-'Forecasting Assumptions'!D21)-'Financial Statements'!D26-'Financial Statements'!D24)/'Financial Statements'!D12</f>
        <v>6.8149947583754311E-2</v>
      </c>
      <c r="E43" s="38">
        <f>('Financial Statements'!E71-'Financial Statements'!E21*(1-'Forecasting Assumptions'!E21)-'Financial Statements'!E26-'Financial Statements'!E24)/'Financial Statements'!E12</f>
        <v>5.820592117305895E-2</v>
      </c>
      <c r="F43" s="38">
        <f>('Financial Statements'!F71-'Financial Statements'!F21*(1-'Forecasting Assumptions'!F21)-'Financial Statements'!F26-'Financial Statements'!F24)/'Financial Statements'!F12</f>
        <v>6.21948347617024E-2</v>
      </c>
      <c r="G43" s="39">
        <f>('Financial Statements'!G71-'Financial Statements'!G21*(1-'Forecasting Assumptions'!G21)-'Financial Statements'!G26-'Financial Statements'!G24)/'Financial Statements'!G12</f>
        <v>6.263025448014653E-2</v>
      </c>
      <c r="H43" s="39">
        <f>('Financial Statements'!H71-'Financial Statements'!H21*(1-'Forecasting Assumptions'!H21)-'Financial Statements'!H26-'Financial Statements'!H24)/'Financial Statements'!H12</f>
        <v>6.2614057971907014E-2</v>
      </c>
      <c r="I43" s="39">
        <f>('Financial Statements'!I71-'Financial Statements'!I21*(1-'Forecasting Assumptions'!I21)-'Financial Statements'!I26-'Financial Statements'!I24)/'Financial Statements'!I12</f>
        <v>6.2597810250715216E-2</v>
      </c>
      <c r="J43" s="39">
        <f>('Financial Statements'!J71-'Financial Statements'!J21*(1-'Forecasting Assumptions'!J21)-'Financial Statements'!J26-'Financial Statements'!J24)/'Financial Statements'!J12</f>
        <v>6.2581511073285453E-2</v>
      </c>
      <c r="K43" s="39">
        <f>('Financial Statements'!K71-'Financial Statements'!K21*(1-'Forecasting Assumptions'!K21)-'Financial Statements'!K26-'Financial Statements'!K24)/'Financial Statements'!K12</f>
        <v>6.2565160194788569E-2</v>
      </c>
      <c r="L43" s="39">
        <f>('Financial Statements'!L71-'Financial Statements'!L21*(1-'Forecasting Assumptions'!L21)-'Financial Statements'!L26-'Financial Statements'!L24)/'Financial Statements'!L12</f>
        <v>6.2548757368839747E-2</v>
      </c>
      <c r="M43" s="39">
        <f>('Financial Statements'!M71-'Financial Statements'!M21*(1-'Forecasting Assumptions'!M21)-'Financial Statements'!M26-'Financial Statements'!M24)/'Financial Statements'!M12</f>
        <v>6.2532302347486149E-2</v>
      </c>
      <c r="N43" s="39">
        <f>('Financial Statements'!N71-'Financial Statements'!N21*(1-'Forecasting Assumptions'!N21)-'Financial Statements'!N26-'Financial Statements'!N24)/'Financial Statements'!N12</f>
        <v>6.2515794881194395E-2</v>
      </c>
      <c r="O43" s="39">
        <f>('Financial Statements'!O71-'Financial Statements'!O21*(1-'Forecasting Assumptions'!O21)-'Financial Statements'!O26-'Financial Statements'!O24)/'Financial Statements'!O12</f>
        <v>6.249923471883792E-2</v>
      </c>
      <c r="P43" s="39">
        <f>('Financial Statements'!P71-'Financial Statements'!P21*(1-'Forecasting Assumptions'!P21)-'Financial Statements'!P26-'Financial Statements'!P24)/'Financial Statements'!P12</f>
        <v>6.2482621607684342E-2</v>
      </c>
      <c r="Q43" s="39">
        <f>('Financial Statements'!Q71-'Financial Statements'!Q21*(1-'Forecasting Assumptions'!Q21)-'Financial Statements'!Q26-'Financial Statements'!Q24)/'Financial Statements'!Q12</f>
        <v>6.2465955293382509E-2</v>
      </c>
      <c r="R43" s="39">
        <f>('Financial Statements'!R71-'Financial Statements'!R21*(1-'Forecasting Assumptions'!R21)-'Financial Statements'!R26-'Financial Statements'!R24)/'Financial Statements'!R12</f>
        <v>6.2465955293382516E-2</v>
      </c>
    </row>
    <row r="44" spans="1:18">
      <c r="A44" t="s">
        <v>462</v>
      </c>
      <c r="B44" s="38">
        <f>'Financial Statements'!B71/'Financial Statements'!B12</f>
        <v>6.6528097337696809E-2</v>
      </c>
      <c r="C44" s="38">
        <f>'Financial Statements'!C71/'Financial Statements'!C12</f>
        <v>7.4316111752911002E-2</v>
      </c>
      <c r="D44" s="38">
        <f>'Financial Statements'!D71/'Financial Statements'!D12</f>
        <v>6.9520743940537991E-2</v>
      </c>
      <c r="E44" s="38">
        <f>'Financial Statements'!E71/'Financial Statements'!E12</f>
        <v>5.9304861091039877E-2</v>
      </c>
      <c r="F44" s="38">
        <f>'Financial Statements'!F71/'Financial Statements'!F12</f>
        <v>6.2558122347927306E-2</v>
      </c>
      <c r="G44" s="39">
        <f>'Financial Statements'!G71/'Financial Statements'!G12</f>
        <v>6.2993542066371436E-2</v>
      </c>
      <c r="H44" s="39">
        <f>'Financial Statements'!H71/'Financial Statements'!H12</f>
        <v>6.2977345558131906E-2</v>
      </c>
      <c r="I44" s="39">
        <f>'Financial Statements'!I71/'Financial Statements'!I12</f>
        <v>6.2961097836940108E-2</v>
      </c>
      <c r="J44" s="39">
        <f>'Financial Statements'!J71/'Financial Statements'!J12</f>
        <v>6.2944798659510345E-2</v>
      </c>
      <c r="K44" s="39">
        <f>'Financial Statements'!K71/'Financial Statements'!K12</f>
        <v>6.2928447781013475E-2</v>
      </c>
      <c r="L44" s="39">
        <f>'Financial Statements'!L71/'Financial Statements'!L12</f>
        <v>6.2912044955064639E-2</v>
      </c>
      <c r="M44" s="39">
        <f>'Financial Statements'!M71/'Financial Statements'!M12</f>
        <v>6.2895589933711055E-2</v>
      </c>
      <c r="N44" s="39">
        <f>'Financial Statements'!N71/'Financial Statements'!N12</f>
        <v>6.2879082467419287E-2</v>
      </c>
      <c r="O44" s="39">
        <f>'Financial Statements'!O71/'Financial Statements'!O12</f>
        <v>6.2862522305062826E-2</v>
      </c>
      <c r="P44" s="39">
        <f>'Financial Statements'!P71/'Financial Statements'!P12</f>
        <v>6.2845909193909241E-2</v>
      </c>
      <c r="Q44" s="39">
        <f>'Financial Statements'!Q71/'Financial Statements'!Q12</f>
        <v>6.2829242879607408E-2</v>
      </c>
      <c r="R44" s="39">
        <f>'Financial Statements'!R71/'Financial Statements'!R12</f>
        <v>6.2829242879607408E-2</v>
      </c>
    </row>
    <row r="45" spans="1:18">
      <c r="B45" s="32"/>
      <c r="C45" s="32"/>
      <c r="D45" s="32"/>
      <c r="E45" s="38"/>
      <c r="F45" s="38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1:18">
      <c r="A46" s="76" t="s">
        <v>295</v>
      </c>
      <c r="B46" s="36"/>
      <c r="C46" s="36"/>
      <c r="D46" s="36"/>
      <c r="E46" s="38"/>
      <c r="F46" s="38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</row>
    <row r="47" spans="1:18">
      <c r="A47" t="s">
        <v>324</v>
      </c>
      <c r="B47" s="38"/>
      <c r="C47" s="38">
        <f>'Financial Statements'!C12/(('Financial Statements'!C75+'Financial Statements'!B75)/2)</f>
        <v>2.257085762725942</v>
      </c>
      <c r="D47" s="38">
        <f>'Financial Statements'!D12/(('Financial Statements'!D75+'Financial Statements'!C75)/2)</f>
        <v>2.2219058039156026</v>
      </c>
      <c r="E47" s="38">
        <f>'Financial Statements'!E12/(('Financial Statements'!E75+'Financial Statements'!D75)/2)</f>
        <v>1.930936928559045</v>
      </c>
      <c r="F47" s="38">
        <f>'Financial Statements'!F12/(('Financial Statements'!F75+'Financial Statements'!E75)/2)</f>
        <v>1.8342765616657768</v>
      </c>
      <c r="G47" s="39">
        <f>'Financial Statements'!G12/(('Financial Statements'!G75+'Financial Statements'!F75)/2)</f>
        <v>1.7708148769063068</v>
      </c>
      <c r="H47" s="39">
        <f>'Financial Statements'!H12/(('Financial Statements'!H75+'Financial Statements'!G75)/2)</f>
        <v>1.7694500724038167</v>
      </c>
      <c r="I47" s="39">
        <f>'Financial Statements'!I12/(('Financial Statements'!I75+'Financial Statements'!H75)/2)</f>
        <v>1.7680830645467995</v>
      </c>
      <c r="J47" s="39">
        <f>'Financial Statements'!J12/(('Financial Statements'!J75+'Financial Statements'!I75)/2)</f>
        <v>1.7667138479952664</v>
      </c>
      <c r="K47" s="39">
        <f>'Financial Statements'!K12/(('Financial Statements'!K75+'Financial Statements'!J75)/2)</f>
        <v>1.7653424173919601</v>
      </c>
      <c r="L47" s="39">
        <f>'Financial Statements'!L12/(('Financial Statements'!L75+'Financial Statements'!K75)/2)</f>
        <v>1.7639687673622828</v>
      </c>
      <c r="M47" s="39">
        <f>'Financial Statements'!M12/(('Financial Statements'!M75+'Financial Statements'!L75)/2)</f>
        <v>1.762592892514228</v>
      </c>
      <c r="N47" s="39">
        <f>'Financial Statements'!N12/(('Financial Statements'!N75+'Financial Statements'!M75)/2)</f>
        <v>1.7612147874383084</v>
      </c>
      <c r="O47" s="39">
        <f>'Financial Statements'!O12/(('Financial Statements'!O75+'Financial Statements'!N75)/2)</f>
        <v>1.7598344467074833</v>
      </c>
      <c r="P47" s="39">
        <f>'Financial Statements'!P12/(('Financial Statements'!P75+'Financial Statements'!O75)/2)</f>
        <v>1.7584518648770926</v>
      </c>
      <c r="Q47" s="39">
        <f>'Financial Statements'!Q12/(('Financial Statements'!Q75+'Financial Statements'!P75)/2)</f>
        <v>1.7570670364847814</v>
      </c>
      <c r="R47" s="39">
        <f>'Financial Statements'!R12/(('Financial Statements'!R75+'Financial Statements'!Q75)/2)</f>
        <v>1.7570670364847818</v>
      </c>
    </row>
    <row r="48" spans="1:18">
      <c r="A48" t="s">
        <v>344</v>
      </c>
      <c r="B48" s="32"/>
      <c r="C48" s="38">
        <f>'Financial Statements'!C12/(('Financial Statements'!B37-'Financial Statements'!B48+'Financial Statements'!B44+'Financial Statements'!C37-'Financial Statements'!C48+'Financial Statements'!C44)/2)</f>
        <v>7.5297087915720979</v>
      </c>
      <c r="D48" s="38">
        <f>'Financial Statements'!D12/(('Financial Statements'!C37-'Financial Statements'!C48+'Financial Statements'!C44+'Financial Statements'!D37-'Financial Statements'!D48+'Financial Statements'!D44)/2)</f>
        <v>9.5049044171632247</v>
      </c>
      <c r="E48" s="38">
        <f>'Financial Statements'!E12/(('Financial Statements'!D37-'Financial Statements'!D48+'Financial Statements'!D44+'Financial Statements'!E37-'Financial Statements'!E48+'Financial Statements'!E44)/2)</f>
        <v>8.4760269987499814</v>
      </c>
      <c r="F48" s="38">
        <f>'Financial Statements'!F12/(('Financial Statements'!E37-'Financial Statements'!E48+'Financial Statements'!E44+'Financial Statements'!F37-'Financial Statements'!F48+'Financial Statements'!F44)/2)</f>
        <v>6.8533812088569714</v>
      </c>
      <c r="G48" s="24">
        <f>'Financial Statements'!G12/(('Financial Statements'!F37-'Financial Statements'!F48+'Financial Statements'!F44+'Financial Statements'!G37-'Financial Statements'!G48+'Financial Statements'!G44)/2)</f>
        <v>5.6471405958815408</v>
      </c>
      <c r="H48" s="24">
        <f>'Financial Statements'!H12/(('Financial Statements'!G37-'Financial Statements'!G48+'Financial Statements'!G44+'Financial Statements'!H37-'Financial Statements'!H48+'Financial Statements'!H44)/2)</f>
        <v>5.6427882251103387</v>
      </c>
      <c r="I48" s="24">
        <f>'Financial Statements'!I12/(('Financial Statements'!H37-'Financial Statements'!H48+'Financial Statements'!H44+'Financial Statements'!I37-'Financial Statements'!I48+'Financial Statements'!I44)/2)</f>
        <v>5.6384288278266785</v>
      </c>
      <c r="J48" s="24">
        <f>'Financial Statements'!J12/(('Financial Statements'!I37-'Financial Statements'!I48+'Financial Statements'!I44+'Financial Statements'!J37-'Financial Statements'!J48+'Financial Statements'!J44)/2)</f>
        <v>5.6340623870012987</v>
      </c>
      <c r="K48" s="24">
        <f>'Financial Statements'!K12/(('Financial Statements'!J37-'Financial Statements'!J48+'Financial Statements'!J44+'Financial Statements'!K37-'Financial Statements'!K48+'Financial Statements'!K44)/2)</f>
        <v>5.629688885549867</v>
      </c>
      <c r="L48" s="24">
        <f>'Financial Statements'!L12/(('Financial Statements'!K37-'Financial Statements'!K48+'Financial Statements'!K44+'Financial Statements'!L37-'Financial Statements'!L48+'Financial Statements'!L44)/2)</f>
        <v>5.6253083063327578</v>
      </c>
      <c r="M48" s="24">
        <f>'Financial Statements'!M12/(('Financial Statements'!L37-'Financial Statements'!L48+'Financial Statements'!L44+'Financial Statements'!M37-'Financial Statements'!M48+'Financial Statements'!M44)/2)</f>
        <v>5.6209206321548244</v>
      </c>
      <c r="N48" s="24">
        <f>'Financial Statements'!N12/(('Financial Statements'!M37-'Financial Statements'!M48+'Financial Statements'!M44+'Financial Statements'!N37-'Financial Statements'!N48+'Financial Statements'!N44)/2)</f>
        <v>5.6165258457651737</v>
      </c>
      <c r="O48" s="24">
        <f>'Financial Statements'!O12/(('Financial Statements'!N37-'Financial Statements'!N48+'Financial Statements'!N44+'Financial Statements'!O37-'Financial Statements'!O48+'Financial Statements'!O44)/2)</f>
        <v>5.6121239298569403</v>
      </c>
      <c r="P48" s="24">
        <f>'Financial Statements'!P12/(('Financial Statements'!O37-'Financial Statements'!O48+'Financial Statements'!O44+'Financial Statements'!P37-'Financial Statements'!P48+'Financial Statements'!P44)/2)</f>
        <v>5.6077148670670667</v>
      </c>
      <c r="Q48" s="24">
        <f>'Financial Statements'!Q12/(('Financial Statements'!P37-'Financial Statements'!P48+'Financial Statements'!P44+'Financial Statements'!Q37-'Financial Statements'!Q48+'Financial Statements'!Q44)/2)</f>
        <v>5.6032986399760585</v>
      </c>
      <c r="R48" s="24">
        <f>'Financial Statements'!R12/(('Financial Statements'!Q37-'Financial Statements'!Q48+'Financial Statements'!Q44+'Financial Statements'!R37-'Financial Statements'!R48+'Financial Statements'!R44)/2)</f>
        <v>5.6032986399760585</v>
      </c>
    </row>
    <row r="49" spans="1:18">
      <c r="A49" t="s">
        <v>209</v>
      </c>
      <c r="B49" s="32"/>
      <c r="C49" s="38">
        <f>365*((('Financial Statements'!B34+'Financial Statements'!C34)/2)/'Financial Statements'!C12)</f>
        <v>19.396441942529759</v>
      </c>
      <c r="D49" s="38">
        <f>365*((('Financial Statements'!C34+'Financial Statements'!D34)/2)/'Financial Statements'!D12)</f>
        <v>0</v>
      </c>
      <c r="E49" s="38">
        <f>365*((('Financial Statements'!D34+'Financial Statements'!E34)/2)/'Financial Statements'!E12)</f>
        <v>0</v>
      </c>
      <c r="F49" s="38">
        <f>365*((('Financial Statements'!E34+'Financial Statements'!F34)/2)/'Financial Statements'!F12)</f>
        <v>0</v>
      </c>
      <c r="G49" s="24">
        <f>365*((('Financial Statements'!F34+'Financial Statements'!G34)/2)/'Financial Statements'!G12)</f>
        <v>0</v>
      </c>
      <c r="H49" s="24">
        <f>365*((('Financial Statements'!G34+'Financial Statements'!H34)/2)/'Financial Statements'!H12)</f>
        <v>0</v>
      </c>
      <c r="I49" s="24">
        <f>365*((('Financial Statements'!H34+'Financial Statements'!I34)/2)/'Financial Statements'!I12)</f>
        <v>0</v>
      </c>
      <c r="J49" s="24">
        <f>365*((('Financial Statements'!I34+'Financial Statements'!J34)/2)/'Financial Statements'!J12)</f>
        <v>0</v>
      </c>
      <c r="K49" s="24">
        <f>365*((('Financial Statements'!J34+'Financial Statements'!K34)/2)/'Financial Statements'!K12)</f>
        <v>0</v>
      </c>
      <c r="L49" s="24">
        <f>365*((('Financial Statements'!K34+'Financial Statements'!L34)/2)/'Financial Statements'!L12)</f>
        <v>0</v>
      </c>
      <c r="M49" s="24">
        <f>365*((('Financial Statements'!L34+'Financial Statements'!M34)/2)/'Financial Statements'!M12)</f>
        <v>0</v>
      </c>
      <c r="N49" s="24">
        <f>365*((('Financial Statements'!M34+'Financial Statements'!N34)/2)/'Financial Statements'!N12)</f>
        <v>0</v>
      </c>
      <c r="O49" s="24">
        <f>365*((('Financial Statements'!N34+'Financial Statements'!O34)/2)/'Financial Statements'!O12)</f>
        <v>0</v>
      </c>
      <c r="P49" s="24">
        <f>365*((('Financial Statements'!O34+'Financial Statements'!P34)/2)/'Financial Statements'!P12)</f>
        <v>0</v>
      </c>
      <c r="Q49" s="24">
        <f>365*((('Financial Statements'!P34+'Financial Statements'!Q34)/2)/'Financial Statements'!Q12)</f>
        <v>0</v>
      </c>
      <c r="R49" s="24">
        <f>365*((('Financial Statements'!Q34+'Financial Statements'!R34)/2)/'Financial Statements'!R12)</f>
        <v>0</v>
      </c>
    </row>
    <row r="50" spans="1:18">
      <c r="A50" t="s">
        <v>259</v>
      </c>
      <c r="B50" s="32"/>
      <c r="C50" s="38">
        <f>-365*((('Financial Statements'!B35+'Financial Statements'!C35)/2)/'Financial Statements'!C13)</f>
        <v>89.043331473301734</v>
      </c>
      <c r="D50" s="38">
        <f>-365*((('Financial Statements'!C35+'Financial Statements'!D35)/2)/'Financial Statements'!D13)</f>
        <v>94.984911873351322</v>
      </c>
      <c r="E50" s="38">
        <f>-365*((('Financial Statements'!D35+'Financial Statements'!E35)/2)/'Financial Statements'!E13)</f>
        <v>99.863438407199538</v>
      </c>
      <c r="F50" s="38">
        <f>-365*((('Financial Statements'!E35+'Financial Statements'!F35)/2)/'Financial Statements'!F13)</f>
        <v>97.777621722846433</v>
      </c>
      <c r="G50" s="24">
        <f>-365*((('Financial Statements'!F35+'Financial Statements'!G35)/2)/'Financial Statements'!G13)</f>
        <v>97.677472658243786</v>
      </c>
      <c r="H50" s="24">
        <f>-365*((('Financial Statements'!G35+'Financial Statements'!H35)/2)/'Financial Statements'!H13)</f>
        <v>97.752812819887765</v>
      </c>
      <c r="I50" s="24">
        <f>-365*((('Financial Statements'!H35+'Financial Statements'!I35)/2)/'Financial Statements'!I13)</f>
        <v>97.828391205230517</v>
      </c>
      <c r="J50" s="24">
        <f>-365*((('Financial Statements'!I35+'Financial Statements'!J35)/2)/'Financial Statements'!J13)</f>
        <v>97.904208945947303</v>
      </c>
      <c r="K50" s="24">
        <f>-365*((('Financial Statements'!J35+'Financial Statements'!K35)/2)/'Financial Statements'!K13)</f>
        <v>97.980267180892639</v>
      </c>
      <c r="L50" s="24">
        <f>-365*((('Financial Statements'!K35+'Financial Statements'!L35)/2)/'Financial Statements'!L13)</f>
        <v>98.056567056157476</v>
      </c>
      <c r="M50" s="24">
        <f>-365*((('Financial Statements'!L35+'Financial Statements'!M35)/2)/'Financial Statements'!M13)</f>
        <v>98.133109725126687</v>
      </c>
      <c r="N50" s="24">
        <f>-365*((('Financial Statements'!M35+'Financial Statements'!N35)/2)/'Financial Statements'!N13)</f>
        <v>98.209896348537171</v>
      </c>
      <c r="O50" s="24">
        <f>-365*((('Financial Statements'!N35+'Financial Statements'!O35)/2)/'Financial Statements'!O13)</f>
        <v>98.286928094536677</v>
      </c>
      <c r="P50" s="24">
        <f>-365*((('Financial Statements'!O35+'Financial Statements'!P35)/2)/'Financial Statements'!P13)</f>
        <v>98.364206138742844</v>
      </c>
      <c r="Q50" s="24">
        <f>-365*((('Financial Statements'!P35+'Financial Statements'!Q35)/2)/'Financial Statements'!Q13)</f>
        <v>98.44173166430312</v>
      </c>
      <c r="R50" s="24">
        <f>-365*((('Financial Statements'!Q35+'Financial Statements'!R35)/2)/'Financial Statements'!R13)</f>
        <v>98.441731664303106</v>
      </c>
    </row>
    <row r="51" spans="1:18">
      <c r="A51" t="s">
        <v>260</v>
      </c>
      <c r="B51" s="32"/>
      <c r="C51" s="38">
        <f>365*((('Financial Statements'!B45+'Financial Statements'!C45)/2)/(-'Financial Statements'!C13+'Financial Statements'!C35-'Financial Statements'!B35))</f>
        <v>31.441455334046019</v>
      </c>
      <c r="D51" s="38">
        <f>365*((('Financial Statements'!C45+'Financial Statements'!D45)/2)/(-'Financial Statements'!D13+'Financial Statements'!D35-'Financial Statements'!C35))</f>
        <v>30.118893515660169</v>
      </c>
      <c r="E51" s="38">
        <f>365*((('Financial Statements'!D45+'Financial Statements'!E45)/2)/(-'Financial Statements'!E13+'Financial Statements'!E35-'Financial Statements'!D35))</f>
        <v>30.489600250728135</v>
      </c>
      <c r="F51" s="38">
        <f>365*((('Financial Statements'!E45+'Financial Statements'!F45)/2)/(-'Financial Statements'!F13+'Financial Statements'!F35-'Financial Statements'!E35))</f>
        <v>34.949324324324323</v>
      </c>
      <c r="G51" s="39">
        <f>365*((('Financial Statements'!F45+'Financial Statements'!G45)/2)/(-'Financial Statements'!G13+'Financial Statements'!G35-'Financial Statements'!F35))</f>
        <v>39.222312117580792</v>
      </c>
      <c r="H51" s="39">
        <f>365*((('Financial Statements'!G45+'Financial Statements'!H45)/2)/(-'Financial Statements'!H13+'Financial Statements'!H35-'Financial Statements'!G35))</f>
        <v>39.268581120612794</v>
      </c>
      <c r="I51" s="39">
        <f>365*((('Financial Statements'!H45+'Financial Statements'!I45)/2)/(-'Financial Statements'!I13+'Financial Statements'!I35-'Financial Statements'!H35))</f>
        <v>39.315034378154351</v>
      </c>
      <c r="J51" s="39">
        <f>365*((('Financial Statements'!I45+'Financial Statements'!J45)/2)/(-'Financial Statements'!J13+'Financial Statements'!J35-'Financial Statements'!I35))</f>
        <v>39.361672993021237</v>
      </c>
      <c r="K51" s="39">
        <f>365*((('Financial Statements'!J45+'Financial Statements'!K45)/2)/(-'Financial Statements'!K13+'Financial Statements'!K35-'Financial Statements'!J35))</f>
        <v>39.408498076847685</v>
      </c>
      <c r="L51" s="39">
        <f>365*((('Financial Statements'!K45+'Financial Statements'!L45)/2)/(-'Financial Statements'!L13+'Financial Statements'!L35-'Financial Statements'!K35))</f>
        <v>39.455510750174774</v>
      </c>
      <c r="M51" s="39">
        <f>365*((('Financial Statements'!L45+'Financial Statements'!M45)/2)/(-'Financial Statements'!M13+'Financial Statements'!M35-'Financial Statements'!L35))</f>
        <v>39.502712142539707</v>
      </c>
      <c r="N51" s="39">
        <f>365*((('Financial Statements'!M45+'Financial Statements'!N45)/2)/(-'Financial Statements'!N13+'Financial Statements'!N35-'Financial Statements'!M35))</f>
        <v>39.550103392566363</v>
      </c>
      <c r="O51" s="39">
        <f>365*((('Financial Statements'!N45+'Financial Statements'!O45)/2)/(-'Financial Statements'!O13+'Financial Statements'!O35-'Financial Statements'!N35))</f>
        <v>39.597685648056867</v>
      </c>
      <c r="P51" s="39">
        <f>365*((('Financial Statements'!O45+'Financial Statements'!P45)/2)/(-'Financial Statements'!P13+'Financial Statements'!P35-'Financial Statements'!O35))</f>
        <v>39.645460066084183</v>
      </c>
      <c r="Q51" s="39">
        <f>365*((('Financial Statements'!P45+'Financial Statements'!Q45)/2)/(-'Financial Statements'!Q13+'Financial Statements'!Q35-'Financial Statements'!P35))</f>
        <v>39.693427813085933</v>
      </c>
      <c r="R51" s="39">
        <f>365*((('Financial Statements'!Q45+'Financial Statements'!R45)/2)/(-'Financial Statements'!R13+'Financial Statements'!R35-'Financial Statements'!Q35))</f>
        <v>39.693427813085933</v>
      </c>
    </row>
    <row r="52" spans="1:18">
      <c r="A52" t="s">
        <v>261</v>
      </c>
      <c r="B52" s="32"/>
      <c r="C52" s="38">
        <f>'Financial Statements'!C12/(('Financial Statements'!B38+'Financial Statements'!C38)/2)</f>
        <v>3.1412526425192127</v>
      </c>
      <c r="D52" s="38">
        <f>'Financial Statements'!D12/(('Financial Statements'!C38+'Financial Statements'!D38)/2)</f>
        <v>2.7773786493619168</v>
      </c>
      <c r="E52" s="38">
        <f>'Financial Statements'!E12/(('Financial Statements'!D38+'Financial Statements'!E38)/2)</f>
        <v>2.4291121735069963</v>
      </c>
      <c r="F52" s="38">
        <f>'Financial Statements'!F12/(('Financial Statements'!E38+'Financial Statements'!F38)/2)</f>
        <v>2.4536494786459078</v>
      </c>
      <c r="G52" s="24">
        <f>'Financial Statements'!G12/(('Financial Statements'!F38+'Financial Statements'!G38)/2)</f>
        <v>2.5033135357348919</v>
      </c>
      <c r="H52" s="24">
        <f>'Financial Statements'!H12/(('Financial Statements'!G38+'Financial Statements'!H38)/2)</f>
        <v>2.501384179013717</v>
      </c>
      <c r="I52" s="24">
        <f>'Financial Statements'!I12/(('Financial Statements'!H38+'Financial Statements'!I38)/2)</f>
        <v>2.4994517075190652</v>
      </c>
      <c r="J52" s="24">
        <f>'Financial Statements'!J12/(('Financial Statements'!I38+'Financial Statements'!J38)/2)</f>
        <v>2.4975161137020572</v>
      </c>
      <c r="K52" s="24">
        <f>'Financial Statements'!K12/(('Financial Statements'!J38+'Financial Statements'!K38)/2)</f>
        <v>2.4955773899894038</v>
      </c>
      <c r="L52" s="24">
        <f>'Financial Statements'!L12/(('Financial Statements'!K38+'Financial Statements'!L38)/2)</f>
        <v>2.4936355287833019</v>
      </c>
      <c r="M52" s="24">
        <f>'Financial Statements'!M12/(('Financial Statements'!L38+'Financial Statements'!M38)/2)</f>
        <v>2.4916905224613362</v>
      </c>
      <c r="N52" s="24">
        <f>'Financial Statements'!N12/(('Financial Statements'!M38+'Financial Statements'!N38)/2)</f>
        <v>2.489742363376382</v>
      </c>
      <c r="O52" s="24">
        <f>'Financial Statements'!O12/(('Financial Statements'!N38+'Financial Statements'!O38)/2)</f>
        <v>2.4877910438565038</v>
      </c>
      <c r="P52" s="24">
        <f>'Financial Statements'!P12/(('Financial Statements'!O38+'Financial Statements'!P38)/2)</f>
        <v>2.4858365562048501</v>
      </c>
      <c r="Q52" s="24">
        <f>'Financial Statements'!Q12/(('Financial Statements'!P38+'Financial Statements'!Q38)/2)</f>
        <v>2.4838788926995607</v>
      </c>
      <c r="R52" s="24">
        <f>'Financial Statements'!R12/(('Financial Statements'!Q38+'Financial Statements'!R38)/2)</f>
        <v>2.4838788926995607</v>
      </c>
    </row>
    <row r="53" spans="1:18">
      <c r="B53" s="32"/>
      <c r="C53" s="32"/>
      <c r="D53" s="32"/>
      <c r="E53" s="38"/>
      <c r="F53" s="38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1:18">
      <c r="A54" s="76" t="s">
        <v>474</v>
      </c>
      <c r="B54" s="36"/>
      <c r="C54" s="36"/>
      <c r="D54" s="36"/>
      <c r="E54" s="38"/>
      <c r="F54" s="38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18">
      <c r="A55" s="226" t="s">
        <v>347</v>
      </c>
      <c r="B55" s="36"/>
      <c r="C55" s="36"/>
      <c r="D55" s="36"/>
      <c r="E55" s="38"/>
      <c r="F55" s="38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</row>
    <row r="56" spans="1:18">
      <c r="A56" t="s">
        <v>460</v>
      </c>
      <c r="B56" s="38">
        <f>('Financial Statements'!B44+'Financial Statements'!B49)/('Financial Statements'!B57)</f>
        <v>0.19371823455375539</v>
      </c>
      <c r="C56" s="38">
        <f>('Financial Statements'!C44+'Financial Statements'!C49)/('Financial Statements'!C57)</f>
        <v>0.18897436286394229</v>
      </c>
      <c r="D56" s="38">
        <f>('Financial Statements'!D44+'Financial Statements'!D49)/('Financial Statements'!D57)</f>
        <v>0.33836616377696155</v>
      </c>
      <c r="E56" s="38">
        <f>('Financial Statements'!E44+'Financial Statements'!E49)/('Financial Statements'!E57)</f>
        <v>0.30716723549488056</v>
      </c>
      <c r="F56" s="38">
        <f>('Financial Statements'!F44+'Financial Statements'!F49)/('Financial Statements'!F57)</f>
        <v>0.26333885139437158</v>
      </c>
      <c r="G56" s="39">
        <f>('Financial Statements'!G44+'Financial Statements'!G49)/('Financial Statements'!G57)</f>
        <v>0.26333885139437152</v>
      </c>
      <c r="H56" s="39">
        <f>('Financial Statements'!H44+'Financial Statements'!H49)/('Financial Statements'!H57)</f>
        <v>0.26333885139437158</v>
      </c>
      <c r="I56" s="39">
        <f>('Financial Statements'!I44+'Financial Statements'!I49)/('Financial Statements'!I57)</f>
        <v>0.26333885139437163</v>
      </c>
      <c r="J56" s="39">
        <f>('Financial Statements'!J44+'Financial Statements'!J49)/('Financial Statements'!J57)</f>
        <v>0.26333885139437158</v>
      </c>
      <c r="K56" s="39">
        <f>('Financial Statements'!K44+'Financial Statements'!K49)/('Financial Statements'!K57)</f>
        <v>0.26333885139437152</v>
      </c>
      <c r="L56" s="39">
        <f>('Financial Statements'!L44+'Financial Statements'!L49)/('Financial Statements'!L57)</f>
        <v>0.26333885139437158</v>
      </c>
      <c r="M56" s="39">
        <f>('Financial Statements'!M44+'Financial Statements'!M49)/('Financial Statements'!M57)</f>
        <v>0.26333885139437158</v>
      </c>
      <c r="N56" s="39">
        <f>('Financial Statements'!N44+'Financial Statements'!N49)/('Financial Statements'!N57)</f>
        <v>0.26333885139437158</v>
      </c>
      <c r="O56" s="39">
        <f>('Financial Statements'!O44+'Financial Statements'!O49)/('Financial Statements'!O57)</f>
        <v>0.26333885139437158</v>
      </c>
      <c r="P56" s="39">
        <f>('Financial Statements'!P44+'Financial Statements'!P49)/('Financial Statements'!P57)</f>
        <v>0.26333885139437158</v>
      </c>
      <c r="Q56" s="39">
        <f>('Financial Statements'!Q44+'Financial Statements'!Q49)/('Financial Statements'!Q57)</f>
        <v>0.26333885139437163</v>
      </c>
      <c r="R56" s="39">
        <f>('Financial Statements'!R44+'Financial Statements'!R49)/('Financial Statements'!R57)</f>
        <v>0.26333885139437152</v>
      </c>
    </row>
    <row r="57" spans="1:18">
      <c r="A57" t="s">
        <v>378</v>
      </c>
      <c r="B57" s="38"/>
      <c r="C57" s="38">
        <f>'Cash Flow Analysis'!B17/(('Financial Statements'!C44+'Financial Statements'!C49+'Financial Statements'!B44+'Financial Statements'!B49)/2)</f>
        <v>1.4209864420366904</v>
      </c>
      <c r="D57" s="38">
        <f>'Cash Flow Analysis'!C17/(('Financial Statements'!D44+'Financial Statements'!D49+'Financial Statements'!C44+'Financial Statements'!C49)/2)</f>
        <v>1.0834634768850329</v>
      </c>
      <c r="E57" s="38">
        <f>'Cash Flow Analysis'!D17/(('Financial Statements'!E44+'Financial Statements'!E49+'Financial Statements'!D44+'Financial Statements'!D49)/2)</f>
        <v>0.73421990549937877</v>
      </c>
      <c r="F57" s="38">
        <f>'Cash Flow Analysis'!E17/(('Financial Statements'!F44+'Financial Statements'!F49+'Financial Statements'!E44+'Financial Statements'!E49)/2)</f>
        <v>0.83083615273078781</v>
      </c>
      <c r="G57" s="39">
        <f>'Cash Flow Analysis'!F17/(('Financial Statements'!G44+'Financial Statements'!G49+'Financial Statements'!F44+'Financial Statements'!F49)/2)</f>
        <v>0.79958999757960003</v>
      </c>
      <c r="H57" s="39">
        <f>'Cash Flow Analysis'!G17/(('Financial Statements'!H44+'Financial Statements'!H49+'Financial Statements'!G44+'Financial Statements'!G49)/2)</f>
        <v>0.79838065967062977</v>
      </c>
      <c r="I57" s="39">
        <f>'Cash Flow Analysis'!H17/(('Financial Statements'!I44+'Financial Statements'!I49+'Financial Statements'!H44+'Financial Statements'!H49)/2)</f>
        <v>0.79716936939401117</v>
      </c>
      <c r="J57" s="39">
        <f>'Cash Flow Analysis'!I17/(('Financial Statements'!J44+'Financial Statements'!J49+'Financial Statements'!I44+'Financial Statements'!I49)/2)</f>
        <v>0.79595612201804111</v>
      </c>
      <c r="K57" s="39">
        <f>'Cash Flow Analysis'!J17/(('Financial Statements'!K44+'Financial Statements'!K49+'Financial Statements'!J44+'Financial Statements'!J49)/2)</f>
        <v>0.79474091279571291</v>
      </c>
      <c r="L57" s="39">
        <f>'Cash Flow Analysis'!K17/(('Financial Statements'!L44+'Financial Statements'!L49+'Financial Statements'!K44+'Financial Statements'!K49)/2)</f>
        <v>0.79352373696465739</v>
      </c>
      <c r="M57" s="39">
        <f>'Cash Flow Analysis'!L17/(('Financial Statements'!M44+'Financial Statements'!M49+'Financial Statements'!L44+'Financial Statements'!L49)/2)</f>
        <v>0.79230458974707763</v>
      </c>
      <c r="N57" s="39">
        <f>'Cash Flow Analysis'!M17/(('Financial Statements'!N44+'Financial Statements'!N49+'Financial Statements'!M44+'Financial Statements'!M49)/2)</f>
        <v>0.79108346634968696</v>
      </c>
      <c r="O57" s="39">
        <f>'Cash Flow Analysis'!N17/(('Financial Statements'!O44+'Financial Statements'!O49+'Financial Statements'!N44+'Financial Statements'!N49)/2)</f>
        <v>0.78986036196364773</v>
      </c>
      <c r="P57" s="39">
        <f>'Cash Flow Analysis'!O17/(('Financial Statements'!P44+'Financial Statements'!P49+'Financial Statements'!O44+'Financial Statements'!O49)/2)</f>
        <v>0.78863527176450621</v>
      </c>
      <c r="Q57" s="39">
        <f>'Cash Flow Analysis'!P17/(('Financial Statements'!Q44+'Financial Statements'!Q49+'Financial Statements'!P44+'Financial Statements'!P49)/2)</f>
        <v>0.78740819091213154</v>
      </c>
      <c r="R57" s="39">
        <f>'Cash Flow Analysis'!Q17/(('Financial Statements'!R44+'Financial Statements'!R49+'Financial Statements'!Q44+'Financial Statements'!Q49)/2)</f>
        <v>0.78740819091213166</v>
      </c>
    </row>
    <row r="58" spans="1:18">
      <c r="A58" t="s">
        <v>379</v>
      </c>
      <c r="B58" s="38"/>
      <c r="C58" s="38">
        <f>'Cash Flow Analysis'!B24/(('Financial Statements'!C44+'Financial Statements'!C49+'Financial Statements'!B44+'Financial Statements'!B49)/2)</f>
        <v>2.7403145946370961</v>
      </c>
      <c r="D58" s="38">
        <f>'Cash Flow Analysis'!C24/(('Financial Statements'!D44+'Financial Statements'!D49+'Financial Statements'!C44+'Financial Statements'!C49)/2)</f>
        <v>0.81411722972561995</v>
      </c>
      <c r="E58" s="38">
        <f>'Cash Flow Analysis'!D24/(('Financial Statements'!E44+'Financial Statements'!E49+'Financial Statements'!D44+'Financial Statements'!D49)/2)</f>
        <v>0.77072715557774218</v>
      </c>
      <c r="F58" s="38">
        <f>'Cash Flow Analysis'!E24/(('Financial Statements'!F44+'Financial Statements'!F49+'Financial Statements'!E44+'Financial Statements'!E49)/2)</f>
        <v>1.0154664088931851</v>
      </c>
      <c r="G58" s="39">
        <f>'Cash Flow Analysis'!F24/(('Financial Statements'!G44+'Financial Statements'!G49+'Financial Statements'!F44+'Financial Statements'!F49)/2)</f>
        <v>0.78104626691398626</v>
      </c>
      <c r="H58" s="39">
        <f>'Cash Flow Analysis'!G24/(('Financial Statements'!H44+'Financial Statements'!H49+'Financial Statements'!G44+'Financial Statements'!G49)/2)</f>
        <v>0.78048032033705383</v>
      </c>
      <c r="I58" s="39">
        <f>'Cash Flow Analysis'!H24/(('Financial Statements'!I44+'Financial Statements'!I49+'Financial Statements'!H44+'Financial Statements'!H49)/2)</f>
        <v>0.77991346009010509</v>
      </c>
      <c r="J58" s="39">
        <f>'Cash Flow Analysis'!I24/(('Financial Statements'!J44+'Financial Statements'!J49+'Financial Statements'!I44+'Financial Statements'!I49)/2)</f>
        <v>0.77934568395879478</v>
      </c>
      <c r="K58" s="39">
        <f>'Cash Flow Analysis'!J24/(('Financial Statements'!K44+'Financial Statements'!K49+'Financial Statements'!J44+'Financial Statements'!J49)/2)</f>
        <v>0.77877698972161558</v>
      </c>
      <c r="L58" s="39">
        <f>'Cash Flow Analysis'!K24/(('Financial Statements'!L44+'Financial Statements'!L49+'Financial Statements'!K44+'Financial Statements'!K49)/2)</f>
        <v>0.7782073751498727</v>
      </c>
      <c r="M58" s="39">
        <f>'Cash Flow Analysis'!L24/(('Financial Statements'!M44+'Financial Statements'!M49+'Financial Statements'!L44+'Financial Statements'!L49)/2)</f>
        <v>0.77763683800765004</v>
      </c>
      <c r="N58" s="39">
        <f>'Cash Flow Analysis'!M24/(('Financial Statements'!N44+'Financial Statements'!N49+'Financial Statements'!M44+'Financial Statements'!M49)/2)</f>
        <v>0.77706537605178228</v>
      </c>
      <c r="O58" s="39">
        <f>'Cash Flow Analysis'!N24/(('Financial Statements'!O44+'Financial Statements'!O49+'Financial Statements'!N44+'Financial Statements'!N49)/2)</f>
        <v>0.77649298703182734</v>
      </c>
      <c r="P58" s="39">
        <f>'Cash Flow Analysis'!O24/(('Financial Statements'!P44+'Financial Statements'!P49+'Financial Statements'!O44+'Financial Statements'!O49)/2)</f>
        <v>0.77591966869003492</v>
      </c>
      <c r="Q58" s="39">
        <f>'Cash Flow Analysis'!P24/(('Financial Statements'!Q44+'Financial Statements'!Q49+'Financial Statements'!P44+'Financial Statements'!P49)/2)</f>
        <v>0.77534541876131824</v>
      </c>
      <c r="R58" s="39">
        <f>'Cash Flow Analysis'!Q24/(('Financial Statements'!R44+'Financial Statements'!R49+'Financial Statements'!Q44+'Financial Statements'!Q49)/2)</f>
        <v>0.77534541876131824</v>
      </c>
    </row>
    <row r="59" spans="1:18">
      <c r="B59" s="32"/>
      <c r="C59" s="32"/>
      <c r="D59" s="32"/>
      <c r="E59" s="38"/>
      <c r="F59" s="38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</row>
    <row r="60" spans="1:18">
      <c r="A60" s="76" t="s">
        <v>474</v>
      </c>
      <c r="B60" s="36"/>
      <c r="C60" s="36"/>
      <c r="D60" s="36"/>
      <c r="E60" s="38"/>
      <c r="F60" s="38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</row>
    <row r="61" spans="1:18">
      <c r="A61" s="226" t="s">
        <v>475</v>
      </c>
      <c r="B61" s="36"/>
      <c r="C61" s="36"/>
      <c r="D61" s="36"/>
      <c r="E61" s="38"/>
      <c r="F61" s="38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</row>
    <row r="62" spans="1:18">
      <c r="A62" s="25" t="s">
        <v>262</v>
      </c>
      <c r="B62" s="38">
        <f>'Financial Statements'!B37/'Financial Statements'!B48</f>
        <v>2.4426921964780077</v>
      </c>
      <c r="C62" s="38">
        <f>'Financial Statements'!C37/'Financial Statements'!C48</f>
        <v>1.7726139833154215</v>
      </c>
      <c r="D62" s="38">
        <f>'Financial Statements'!D37/'Financial Statements'!D48</f>
        <v>2.1021723471419991</v>
      </c>
      <c r="E62" s="38">
        <f>'Financial Statements'!E37/'Financial Statements'!E48</f>
        <v>2.0385674931129478</v>
      </c>
      <c r="F62" s="38">
        <f>'Financial Statements'!F37/'Financial Statements'!F48</f>
        <v>2.2949790794979079</v>
      </c>
      <c r="G62" s="24">
        <f>'Financial Statements'!G37/'Financial Statements'!G48</f>
        <v>2.2949790794979084</v>
      </c>
      <c r="H62" s="24">
        <f>'Financial Statements'!H37/'Financial Statements'!H48</f>
        <v>2.2949790794979084</v>
      </c>
      <c r="I62" s="24">
        <f>'Financial Statements'!I37/'Financial Statements'!I48</f>
        <v>2.2949790794979079</v>
      </c>
      <c r="J62" s="24">
        <f>'Financial Statements'!J37/'Financial Statements'!J48</f>
        <v>2.2949790794979075</v>
      </c>
      <c r="K62" s="24">
        <f>'Financial Statements'!K37/'Financial Statements'!K48</f>
        <v>2.2949790794979079</v>
      </c>
      <c r="L62" s="24">
        <f>'Financial Statements'!L37/'Financial Statements'!L48</f>
        <v>2.2949790794979079</v>
      </c>
      <c r="M62" s="24">
        <f>'Financial Statements'!M37/'Financial Statements'!M48</f>
        <v>2.2949790794979075</v>
      </c>
      <c r="N62" s="24">
        <f>'Financial Statements'!N37/'Financial Statements'!N48</f>
        <v>2.2949790794979079</v>
      </c>
      <c r="O62" s="24">
        <f>'Financial Statements'!O37/'Financial Statements'!O48</f>
        <v>2.2949790794979079</v>
      </c>
      <c r="P62" s="24">
        <f>'Financial Statements'!P37/'Financial Statements'!P48</f>
        <v>2.2949790794979079</v>
      </c>
      <c r="Q62" s="24">
        <f>'Financial Statements'!Q37/'Financial Statements'!Q48</f>
        <v>2.2949790794979079</v>
      </c>
      <c r="R62" s="24">
        <f>'Financial Statements'!R37/'Financial Statements'!R48</f>
        <v>2.2949790794979079</v>
      </c>
    </row>
    <row r="63" spans="1:18">
      <c r="A63" s="25" t="s">
        <v>280</v>
      </c>
      <c r="B63" s="38">
        <f>('Financial Statements'!B33+'Financial Statements'!B34)/'Financial Statements'!B48</f>
        <v>1.1102381681749602</v>
      </c>
      <c r="C63" s="38">
        <f>('Financial Statements'!C33+'Financial Statements'!C34)/'Financial Statements'!C48</f>
        <v>0.32335100888224999</v>
      </c>
      <c r="D63" s="38">
        <f>('Financial Statements'!D33+'Financial Statements'!D34)/'Financial Statements'!D48</f>
        <v>0.37464887481879233</v>
      </c>
      <c r="E63" s="38">
        <f>('Financial Statements'!E33+'Financial Statements'!E34)/'Financial Statements'!E48</f>
        <v>0.37245179063360884</v>
      </c>
      <c r="F63" s="38">
        <f>('Financial Statements'!F33+'Financial Statements'!F34)/'Financial Statements'!F48</f>
        <v>0.9485355648535565</v>
      </c>
      <c r="G63" s="24">
        <f>('Financial Statements'!G33+'Financial Statements'!G34)/'Financial Statements'!G48</f>
        <v>0.9485355648535565</v>
      </c>
      <c r="H63" s="24">
        <f>('Financial Statements'!H33+'Financial Statements'!H34)/'Financial Statements'!H48</f>
        <v>0.94853556485355661</v>
      </c>
      <c r="I63" s="24">
        <f>('Financial Statements'!I33+'Financial Statements'!I34)/'Financial Statements'!I48</f>
        <v>0.94853556485355639</v>
      </c>
      <c r="J63" s="24">
        <f>('Financial Statements'!J33+'Financial Statements'!J34)/'Financial Statements'!J48</f>
        <v>0.94853556485355628</v>
      </c>
      <c r="K63" s="24">
        <f>('Financial Statements'!K33+'Financial Statements'!K34)/'Financial Statements'!K48</f>
        <v>0.9485355648535565</v>
      </c>
      <c r="L63" s="24">
        <f>('Financial Statements'!L33+'Financial Statements'!L34)/'Financial Statements'!L48</f>
        <v>0.9485355648535565</v>
      </c>
      <c r="M63" s="24">
        <f>('Financial Statements'!M33+'Financial Statements'!M34)/'Financial Statements'!M48</f>
        <v>0.94853556485355639</v>
      </c>
      <c r="N63" s="24">
        <f>('Financial Statements'!N33+'Financial Statements'!N34)/'Financial Statements'!N48</f>
        <v>0.94853556485355639</v>
      </c>
      <c r="O63" s="24">
        <f>('Financial Statements'!O33+'Financial Statements'!O34)/'Financial Statements'!O48</f>
        <v>0.94853556485355639</v>
      </c>
      <c r="P63" s="24">
        <f>('Financial Statements'!P33+'Financial Statements'!P34)/'Financial Statements'!P48</f>
        <v>0.9485355648535565</v>
      </c>
      <c r="Q63" s="24">
        <f>('Financial Statements'!Q33+'Financial Statements'!Q34)/'Financial Statements'!Q48</f>
        <v>0.9485355648535565</v>
      </c>
      <c r="R63" s="24">
        <f>('Financial Statements'!R33+'Financial Statements'!R34)/'Financial Statements'!R48</f>
        <v>0.9485355648535565</v>
      </c>
    </row>
    <row r="64" spans="1:18">
      <c r="A64" s="25" t="s">
        <v>281</v>
      </c>
      <c r="B64" s="38">
        <f>-'Financial Statements'!B19/'Financial Statements'!B20</f>
        <v>17.83985236133681</v>
      </c>
      <c r="C64" s="38">
        <f>-'Financial Statements'!C19/'Financial Statements'!C20</f>
        <v>24.383637658376664</v>
      </c>
      <c r="D64" s="38">
        <f>-'Financial Statements'!D19/'Financial Statements'!D20</f>
        <v>18.280219223599968</v>
      </c>
      <c r="E64" s="38">
        <f>-'Financial Statements'!E19/'Financial Statements'!E20</f>
        <v>10.971428571428572</v>
      </c>
      <c r="F64" s="38">
        <f>-'Financial Statements'!F19/'Financial Statements'!F20</f>
        <v>12.776119402985074</v>
      </c>
      <c r="G64" s="39">
        <f>-'Financial Statements'!G19/'Financial Statements'!G20</f>
        <v>13.164209626062945</v>
      </c>
      <c r="H64" s="39">
        <f>-'Financial Statements'!H19/'Financial Statements'!H20</f>
        <v>13.150661982091888</v>
      </c>
      <c r="I64" s="39">
        <f>-'Financial Statements'!I19/'Financial Statements'!I20</f>
        <v>13.137092466664058</v>
      </c>
      <c r="J64" s="39">
        <f>-'Financial Statements'!J19/'Financial Statements'!J20</f>
        <v>13.123501026772411</v>
      </c>
      <c r="K64" s="39">
        <f>-'Financial Statements'!K19/'Financial Statements'!K20</f>
        <v>13.109887609238465</v>
      </c>
      <c r="L64" s="39">
        <f>-'Financial Statements'!L19/'Financial Statements'!L20</f>
        <v>13.096252160711629</v>
      </c>
      <c r="M64" s="39">
        <f>-'Financial Statements'!M19/'Financial Statements'!M20</f>
        <v>13.082594627668499</v>
      </c>
      <c r="N64" s="39">
        <f>-'Financial Statements'!N19/'Financial Statements'!N20</f>
        <v>13.068914956412129</v>
      </c>
      <c r="O64" s="39">
        <f>-'Financial Statements'!O19/'Financial Statements'!O20</f>
        <v>13.05521309307138</v>
      </c>
      <c r="P64" s="39">
        <f>-'Financial Statements'!P19/'Financial Statements'!P20</f>
        <v>13.041488983600162</v>
      </c>
      <c r="Q64" s="39">
        <f>-'Financial Statements'!Q19/'Financial Statements'!Q20</f>
        <v>13.027742573776774</v>
      </c>
      <c r="R64" s="39">
        <f>-'Financial Statements'!R19/'Financial Statements'!R20</f>
        <v>13.027742573776775</v>
      </c>
    </row>
    <row r="65" spans="1:18">
      <c r="A65" s="25" t="s">
        <v>336</v>
      </c>
      <c r="B65" s="38">
        <f>-'Financial Statements'!B17/'Financial Statements'!B20</f>
        <v>21.716123099404154</v>
      </c>
      <c r="C65" s="38">
        <f>-'Financial Statements'!C17/'Financial Statements'!C20</f>
        <v>29.592419417684443</v>
      </c>
      <c r="D65" s="38">
        <f>-'Financial Statements'!D17/'Financial Statements'!D20</f>
        <v>22.860665369965151</v>
      </c>
      <c r="E65" s="38">
        <f>-'Financial Statements'!E17/'Financial Statements'!E20</f>
        <v>14.835714285714285</v>
      </c>
      <c r="F65" s="38">
        <f>-'Financial Statements'!F17/'Financial Statements'!F20</f>
        <v>17.17910447761194</v>
      </c>
      <c r="G65" s="39">
        <f>-'Financial Statements'!G17/'Financial Statements'!G20</f>
        <v>17.577879796854827</v>
      </c>
      <c r="H65" s="39">
        <f>-'Financial Statements'!H17/'Financial Statements'!H20</f>
        <v>17.564332152883768</v>
      </c>
      <c r="I65" s="39">
        <f>-'Financial Statements'!I17/'Financial Statements'!I20</f>
        <v>17.550762637455936</v>
      </c>
      <c r="J65" s="39">
        <f>-'Financial Statements'!J17/'Financial Statements'!J20</f>
        <v>17.537171197564291</v>
      </c>
      <c r="K65" s="39">
        <f>-'Financial Statements'!K17/'Financial Statements'!K20</f>
        <v>17.523557780030341</v>
      </c>
      <c r="L65" s="39">
        <f>-'Financial Statements'!L17/'Financial Statements'!L20</f>
        <v>17.509922331503507</v>
      </c>
      <c r="M65" s="39">
        <f>-'Financial Statements'!M17/'Financial Statements'!M20</f>
        <v>17.496264798460377</v>
      </c>
      <c r="N65" s="39">
        <f>-'Financial Statements'!N17/'Financial Statements'!N20</f>
        <v>17.482585127204011</v>
      </c>
      <c r="O65" s="39">
        <f>-'Financial Statements'!O17/'Financial Statements'!O20</f>
        <v>17.468883263863258</v>
      </c>
      <c r="P65" s="39">
        <f>-'Financial Statements'!P17/'Financial Statements'!P20</f>
        <v>17.455159154392042</v>
      </c>
      <c r="Q65" s="39">
        <f>-'Financial Statements'!Q17/'Financial Statements'!Q20</f>
        <v>17.441412744568652</v>
      </c>
      <c r="R65" s="39">
        <f>-'Financial Statements'!R17/'Financial Statements'!R20</f>
        <v>17.441412744568655</v>
      </c>
    </row>
    <row r="66" spans="1:18">
      <c r="A66" s="25"/>
      <c r="B66" s="38"/>
      <c r="C66" s="38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</row>
    <row r="67" spans="1:18" s="224" customFormat="1">
      <c r="A67" s="224" t="s">
        <v>127</v>
      </c>
      <c r="B67" s="223">
        <f>IF(MONTH(B7)&gt;6,YEAR(B7),YEAR(B7)-1)</f>
        <v>2005</v>
      </c>
      <c r="C67" s="223">
        <f>IF(MONTH(C7)&gt;6,YEAR(C7),YEAR(C7)-1)</f>
        <v>2006</v>
      </c>
      <c r="D67" s="223">
        <f>IF(MONTH(D7)&gt;6,YEAR(D7),YEAR(D7)-1)</f>
        <v>2007</v>
      </c>
      <c r="E67" s="223">
        <f t="shared" ref="E67:P67" si="4">IF(MONTH(E7)&gt;6,YEAR(E7),YEAR(E7)-1)</f>
        <v>2008</v>
      </c>
      <c r="F67" s="223">
        <f t="shared" si="4"/>
        <v>2009</v>
      </c>
      <c r="G67" s="224">
        <f t="shared" si="4"/>
        <v>2010</v>
      </c>
      <c r="H67" s="224">
        <f t="shared" si="4"/>
        <v>2011</v>
      </c>
      <c r="I67" s="224">
        <f t="shared" si="4"/>
        <v>2012</v>
      </c>
      <c r="J67" s="224">
        <f t="shared" si="4"/>
        <v>2013</v>
      </c>
      <c r="K67" s="224">
        <f t="shared" si="4"/>
        <v>2014</v>
      </c>
      <c r="L67" s="224">
        <f t="shared" si="4"/>
        <v>2015</v>
      </c>
      <c r="M67" s="224">
        <f t="shared" si="4"/>
        <v>2016</v>
      </c>
      <c r="N67" s="224">
        <f t="shared" si="4"/>
        <v>2017</v>
      </c>
      <c r="O67" s="224">
        <f t="shared" si="4"/>
        <v>2018</v>
      </c>
      <c r="P67" s="224">
        <f t="shared" si="4"/>
        <v>2019</v>
      </c>
      <c r="Q67" s="224">
        <f>IF(MONTH(Q7)&gt;6,YEAR(Q7),YEAR(Q7)-1)</f>
        <v>2020</v>
      </c>
      <c r="R67" s="224">
        <f>IF(MONTH(R7)&gt;6,YEAR(R7),YEAR(R7)-1)</f>
        <v>2021</v>
      </c>
    </row>
    <row r="68" spans="1:18"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</sheetData>
  <phoneticPr fontId="0" type="noConversion"/>
  <pageMargins left="0.75" right="0.75" top="1" bottom="1" header="0.5" footer="0.5"/>
  <pageSetup orientation="portrait" horizontalDpi="4294967292" verticalDpi="4294967292"/>
  <colBreaks count="1" manualBreakCount="1">
    <brk id="15" max="1048575" man="1"/>
  </colBreaks>
  <ignoredErrors>
    <ignoredError sqref="D14:K14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130"/>
  <sheetViews>
    <sheetView zoomScale="125" workbookViewId="0">
      <pane xSplit="1" ySplit="7" topLeftCell="B8" activePane="bottomRight" state="frozenSplit"/>
      <selection pane="topRight" activeCell="D1" sqref="D1"/>
      <selection pane="bottomLeft" activeCell="A13" sqref="A13"/>
      <selection pane="bottomRight"/>
    </sheetView>
  </sheetViews>
  <sheetFormatPr baseColWidth="10" defaultColWidth="8.83203125" defaultRowHeight="13"/>
  <cols>
    <col min="1" max="1" width="31.6640625" customWidth="1"/>
    <col min="2" max="3" width="15.6640625" customWidth="1"/>
    <col min="4" max="5" width="15.6640625" style="32" customWidth="1"/>
    <col min="6" max="17" width="15.6640625" style="25" customWidth="1"/>
  </cols>
  <sheetData>
    <row r="1" spans="1:17" s="60" customFormat="1" ht="18">
      <c r="A1" s="170" t="s">
        <v>362</v>
      </c>
      <c r="B1" s="179" t="s">
        <v>381</v>
      </c>
      <c r="C1" s="161"/>
      <c r="D1" s="180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7" s="7" customFormat="1" ht="18" customHeight="1">
      <c r="A2" s="159"/>
      <c r="B2" s="159"/>
      <c r="C2" s="159"/>
      <c r="D2" s="182"/>
      <c r="E2" s="182"/>
      <c r="F2" s="172" t="s">
        <v>228</v>
      </c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</row>
    <row r="3" spans="1:17" s="7" customFormat="1" ht="18" customHeight="1">
      <c r="A3" s="166"/>
      <c r="B3" s="166"/>
      <c r="C3" s="166"/>
      <c r="D3" s="183"/>
      <c r="E3" s="18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</row>
    <row r="4" spans="1:17" s="7" customFormat="1">
      <c r="A4" s="6" t="s">
        <v>412</v>
      </c>
      <c r="B4" s="13" t="str">
        <f>'Financial Statements'!B4</f>
        <v>KOHL'S CORP</v>
      </c>
      <c r="C4" s="6"/>
      <c r="D4" s="9"/>
      <c r="E4" s="9"/>
      <c r="F4" s="9"/>
      <c r="G4" s="9"/>
      <c r="H4" s="26"/>
      <c r="I4" s="9"/>
      <c r="J4" s="9"/>
      <c r="K4" s="9"/>
      <c r="L4" s="9"/>
      <c r="M4" s="9"/>
      <c r="N4" s="9"/>
      <c r="O4" s="9"/>
      <c r="P4" s="9"/>
      <c r="Q4" s="9"/>
    </row>
    <row r="5" spans="1:17" s="7" customFormat="1">
      <c r="A5" s="6"/>
      <c r="B5" s="6"/>
      <c r="C5" s="6"/>
      <c r="D5" s="31"/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7" customFormat="1">
      <c r="A6" s="6"/>
      <c r="B6" s="15" t="s">
        <v>535</v>
      </c>
      <c r="C6" s="15" t="s">
        <v>535</v>
      </c>
      <c r="D6" s="15" t="s">
        <v>535</v>
      </c>
      <c r="E6" s="15" t="s">
        <v>535</v>
      </c>
      <c r="F6" s="27" t="s">
        <v>536</v>
      </c>
      <c r="G6" s="27" t="s">
        <v>536</v>
      </c>
      <c r="H6" s="27" t="s">
        <v>536</v>
      </c>
      <c r="I6" s="27" t="s">
        <v>536</v>
      </c>
      <c r="J6" s="27" t="s">
        <v>536</v>
      </c>
      <c r="K6" s="27" t="s">
        <v>536</v>
      </c>
      <c r="L6" s="27" t="s">
        <v>536</v>
      </c>
      <c r="M6" s="27" t="s">
        <v>536</v>
      </c>
      <c r="N6" s="27" t="s">
        <v>536</v>
      </c>
      <c r="O6" s="27" t="s">
        <v>536</v>
      </c>
      <c r="P6" s="27" t="s">
        <v>536</v>
      </c>
      <c r="Q6" s="27" t="s">
        <v>536</v>
      </c>
    </row>
    <row r="7" spans="1:17" s="7" customFormat="1" ht="14" thickBot="1">
      <c r="A7" s="6" t="s">
        <v>534</v>
      </c>
      <c r="B7" s="260">
        <f>'Financial Statements'!C8</f>
        <v>37651</v>
      </c>
      <c r="C7" s="258">
        <f>'Financial Statements'!D8</f>
        <v>38016</v>
      </c>
      <c r="D7" s="258">
        <f>'Financial Statements'!E8</f>
        <v>38382</v>
      </c>
      <c r="E7" s="258">
        <f>'Financial Statements'!F8</f>
        <v>38747</v>
      </c>
      <c r="F7" s="261">
        <f>'Financial Statements'!G8</f>
        <v>39112</v>
      </c>
      <c r="G7" s="261">
        <f>'Financial Statements'!H8</f>
        <v>39477</v>
      </c>
      <c r="H7" s="261">
        <f>'Financial Statements'!I8</f>
        <v>39843</v>
      </c>
      <c r="I7" s="261">
        <f>'Financial Statements'!J8</f>
        <v>40208</v>
      </c>
      <c r="J7" s="261">
        <f>'Financial Statements'!K8</f>
        <v>40573</v>
      </c>
      <c r="K7" s="261">
        <f>'Financial Statements'!L8</f>
        <v>40938</v>
      </c>
      <c r="L7" s="261">
        <f>'Financial Statements'!M8</f>
        <v>41304</v>
      </c>
      <c r="M7" s="261">
        <f>'Financial Statements'!N8</f>
        <v>41669</v>
      </c>
      <c r="N7" s="261">
        <f>'Financial Statements'!O8</f>
        <v>42034</v>
      </c>
      <c r="O7" s="261">
        <f>'Financial Statements'!P8</f>
        <v>42399</v>
      </c>
      <c r="P7" s="261">
        <f>'Financial Statements'!Q8</f>
        <v>42765</v>
      </c>
      <c r="Q7" s="261">
        <f>'Financial Statements'!R8</f>
        <v>43130</v>
      </c>
    </row>
    <row r="8" spans="1:17" s="7" customFormat="1">
      <c r="A8" s="239" t="s">
        <v>375</v>
      </c>
      <c r="B8" s="225"/>
      <c r="C8" s="6"/>
      <c r="D8" s="13"/>
      <c r="E8" s="13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7" customFormat="1">
      <c r="A9" s="6"/>
      <c r="B9" s="6"/>
      <c r="C9" s="6"/>
      <c r="D9" s="13"/>
      <c r="E9" s="13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7" customFormat="1">
      <c r="A10" s="9" t="s">
        <v>380</v>
      </c>
      <c r="B10" s="9"/>
      <c r="C10" s="9"/>
      <c r="D10" s="13"/>
      <c r="E10" s="13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7" customFormat="1">
      <c r="A11" s="7" t="s">
        <v>210</v>
      </c>
      <c r="B11" s="14">
        <f>'Financial Statements'!C29</f>
        <v>1108681</v>
      </c>
      <c r="C11" s="14">
        <f>'Financial Statements'!D29</f>
        <v>1083851</v>
      </c>
      <c r="D11" s="14">
        <f>'Financial Statements'!E29</f>
        <v>885000</v>
      </c>
      <c r="E11" s="14">
        <f>'Financial Statements'!F29</f>
        <v>991000</v>
      </c>
      <c r="F11" s="28">
        <f>'Financial Statements'!G29</f>
        <v>1046887.0229147106</v>
      </c>
      <c r="G11" s="28">
        <f>'Financial Statements'!H29</f>
        <v>1093459.9520091428</v>
      </c>
      <c r="H11" s="28">
        <f>'Financial Statements'!I29</f>
        <v>1140300.6072300265</v>
      </c>
      <c r="I11" s="28">
        <f>'Financial Statements'!J29</f>
        <v>1187266.3253773018</v>
      </c>
      <c r="J11" s="28">
        <f>'Financial Statements'!K29</f>
        <v>1234207.4771479508</v>
      </c>
      <c r="K11" s="28">
        <f>'Financial Statements'!L29</f>
        <v>1280968.1447622164</v>
      </c>
      <c r="L11" s="28">
        <f>'Financial Statements'!M29</f>
        <v>1327386.8816182446</v>
      </c>
      <c r="M11" s="28">
        <f>'Financial Statements'!N29</f>
        <v>1373297.5501042148</v>
      </c>
      <c r="N11" s="28">
        <f>'Financial Statements'!O29</f>
        <v>1418530.2326220849</v>
      </c>
      <c r="O11" s="28">
        <f>'Financial Statements'!P29</f>
        <v>1462912.2098195716</v>
      </c>
      <c r="P11" s="28">
        <f>'Financial Statements'!Q29</f>
        <v>1506268.9990034457</v>
      </c>
      <c r="Q11" s="28">
        <f>'Financial Statements'!R29</f>
        <v>1551457.0689735492</v>
      </c>
    </row>
    <row r="12" spans="1:17" s="7" customFormat="1">
      <c r="A12" s="7" t="s">
        <v>556</v>
      </c>
      <c r="B12" s="14">
        <f>-'Financial Statements'!C18</f>
        <v>387674</v>
      </c>
      <c r="C12" s="14">
        <f>-'Financial Statements'!D18</f>
        <v>452145</v>
      </c>
      <c r="D12" s="14">
        <f>-'Financial Statements'!E18</f>
        <v>541000</v>
      </c>
      <c r="E12" s="14">
        <f>-'Financial Statements'!F18</f>
        <v>590000</v>
      </c>
      <c r="F12" s="28">
        <f>-'Financial Statements'!G18</f>
        <v>604887.95513019373</v>
      </c>
      <c r="G12" s="28">
        <f>-'Financial Statements'!H18</f>
        <v>632500.72535677161</v>
      </c>
      <c r="H12" s="28">
        <f>-'Financial Statements'!I18</f>
        <v>660331.24414464657</v>
      </c>
      <c r="I12" s="28">
        <f>-'Financial Statements'!J18</f>
        <v>688297.6879906673</v>
      </c>
      <c r="J12" s="28">
        <f>-'Financial Statements'!K18</f>
        <v>716313.82601877768</v>
      </c>
      <c r="K12" s="28">
        <f>-'Financial Statements'!L18</f>
        <v>744289.38743689191</v>
      </c>
      <c r="L12" s="28">
        <f>-'Financial Statements'!M18</f>
        <v>772130.47906857659</v>
      </c>
      <c r="M12" s="28">
        <f>-'Financial Statements'!N18</f>
        <v>799740.05111524381</v>
      </c>
      <c r="N12" s="28">
        <f>-'Financial Statements'!O18</f>
        <v>827018.40866377216</v>
      </c>
      <c r="O12" s="28">
        <f>-'Financial Statements'!P18</f>
        <v>853863.76581721893</v>
      </c>
      <c r="P12" s="28">
        <f>-'Financial Statements'!Q18</f>
        <v>880172.83870217821</v>
      </c>
      <c r="Q12" s="28">
        <f>-'Financial Statements'!R18</f>
        <v>906578.02386324352</v>
      </c>
    </row>
    <row r="13" spans="1:17" s="7" customFormat="1">
      <c r="A13" s="7" t="s">
        <v>339</v>
      </c>
      <c r="B13" s="14">
        <f>'Financial Statements'!C51-'Financial Statements'!B51</f>
        <v>25729</v>
      </c>
      <c r="C13" s="14">
        <f>'Financial Statements'!D51-'Financial Statements'!C51</f>
        <v>18921</v>
      </c>
      <c r="D13" s="14">
        <f>'Financial Statements'!E51-'Financial Statements'!D51</f>
        <v>57549</v>
      </c>
      <c r="E13" s="14">
        <f>'Financial Statements'!F51-'Financial Statements'!E51</f>
        <v>57000</v>
      </c>
      <c r="F13" s="28">
        <f>'Financial Statements'!G51-'Financial Statements'!F51</f>
        <v>17527.774116785673</v>
      </c>
      <c r="G13" s="28">
        <f>'Financial Statements'!H51-'Financial Statements'!G51</f>
        <v>17692.003313770867</v>
      </c>
      <c r="H13" s="28">
        <f>'Financial Statements'!I51-'Financial Statements'!H51</f>
        <v>17805.509954290465</v>
      </c>
      <c r="I13" s="28">
        <f>'Financial Statements'!J51-'Financial Statements'!I51</f>
        <v>17865.374194557022</v>
      </c>
      <c r="J13" s="28">
        <f>'Financial Statements'!K51-'Financial Statements'!J51</f>
        <v>17868.894323857152</v>
      </c>
      <c r="K13" s="28">
        <f>'Financial Statements'!L51-'Financial Statements'!K51</f>
        <v>17813.619185507472</v>
      </c>
      <c r="L13" s="28">
        <f>'Financial Statements'!M51-'Financial Statements'!L51</f>
        <v>17697.379625754547</v>
      </c>
      <c r="M13" s="28">
        <f>'Financial Statements'!N51-'Financial Statements'!M51</f>
        <v>17518.318562346045</v>
      </c>
      <c r="N13" s="28">
        <f>'Financial Statements'!O51-'Financial Statements'!N51</f>
        <v>17274.919263737102</v>
      </c>
      <c r="O13" s="28">
        <f>'Financial Statements'!P51-'Financial Statements'!O51</f>
        <v>16966.031435158453</v>
      </c>
      <c r="P13" s="28">
        <f>'Financial Statements'!Q51-'Financial Statements'!P51</f>
        <v>16590.894719272968</v>
      </c>
      <c r="Q13" s="28">
        <f>'Financial Statements'!R51-'Financial Statements'!Q51</f>
        <v>17088.621560851112</v>
      </c>
    </row>
    <row r="14" spans="1:17" s="7" customFormat="1">
      <c r="A14" s="7" t="s">
        <v>340</v>
      </c>
      <c r="B14" s="14">
        <f>'Financial Statements'!C50-'Financial Statements'!B50</f>
        <v>50196.999999999884</v>
      </c>
      <c r="C14" s="14">
        <f>'Financial Statements'!D50-'Financial Statements'!C50</f>
        <v>137168.00000000038</v>
      </c>
      <c r="D14" s="14">
        <f>'Financial Statements'!E50-'Financial Statements'!D50</f>
        <v>34294.999999999825</v>
      </c>
      <c r="E14" s="14">
        <f>'Financial Statements'!F50-'Financial Statements'!E50</f>
        <v>81000</v>
      </c>
      <c r="F14" s="28">
        <f>'Financial Statements'!G50-'Financial Statements'!F50</f>
        <v>22688.471535786171</v>
      </c>
      <c r="G14" s="28">
        <f>'Financial Statements'!H50-'Financial Statements'!G50</f>
        <v>22901.054687321419</v>
      </c>
      <c r="H14" s="28">
        <f>'Financial Statements'!I50-'Financial Statements'!H50</f>
        <v>23047.981054890552</v>
      </c>
      <c r="I14" s="28">
        <f>'Financial Statements'!J50-'Financial Statements'!I50</f>
        <v>23125.471105951932</v>
      </c>
      <c r="J14" s="28">
        <f>'Financial Statements'!K50-'Financial Statements'!J50</f>
        <v>23130.027665894595</v>
      </c>
      <c r="K14" s="28">
        <f>'Financial Statements'!L50-'Financial Statements'!K50</f>
        <v>23058.477884688647</v>
      </c>
      <c r="L14" s="28">
        <f>'Financial Statements'!M50-'Financial Statements'!L50</f>
        <v>22908.013945273822</v>
      </c>
      <c r="M14" s="28">
        <f>'Financial Statements'!N50-'Financial Statements'!M50</f>
        <v>22676.231985211838</v>
      </c>
      <c r="N14" s="28">
        <f>'Financial Statements'!O50-'Financial Statements'!N50</f>
        <v>22361.168702131836</v>
      </c>
      <c r="O14" s="28">
        <f>'Financial Statements'!P50-'Financial Statements'!O50</f>
        <v>21961.33512031124</v>
      </c>
      <c r="P14" s="28">
        <f>'Financial Statements'!Q50-'Financial Statements'!P50</f>
        <v>21475.74701062392</v>
      </c>
      <c r="Q14" s="28">
        <f>'Financial Statements'!R50-'Financial Statements'!Q50</f>
        <v>22120.019420942524</v>
      </c>
    </row>
    <row r="15" spans="1:17" s="7" customFormat="1">
      <c r="A15" s="7" t="s">
        <v>114</v>
      </c>
      <c r="B15" s="14">
        <f>-'Financial Statements'!C27</f>
        <v>0</v>
      </c>
      <c r="C15" s="14">
        <f>-'Financial Statements'!D27</f>
        <v>0</v>
      </c>
      <c r="D15" s="14">
        <f>-'Financial Statements'!E27</f>
        <v>0</v>
      </c>
      <c r="E15" s="14">
        <f>-'Financial Statements'!F27</f>
        <v>0</v>
      </c>
      <c r="F15" s="28">
        <f>-'Financial Statements'!G27</f>
        <v>0</v>
      </c>
      <c r="G15" s="28">
        <f>-'Financial Statements'!H27</f>
        <v>0</v>
      </c>
      <c r="H15" s="28">
        <f>-'Financial Statements'!I27</f>
        <v>0</v>
      </c>
      <c r="I15" s="28">
        <f>-'Financial Statements'!J27</f>
        <v>0</v>
      </c>
      <c r="J15" s="28">
        <f>-'Financial Statements'!K27</f>
        <v>0</v>
      </c>
      <c r="K15" s="28">
        <f>-'Financial Statements'!L27</f>
        <v>0</v>
      </c>
      <c r="L15" s="28">
        <f>-'Financial Statements'!M27</f>
        <v>0</v>
      </c>
      <c r="M15" s="28">
        <f>-'Financial Statements'!N27</f>
        <v>0</v>
      </c>
      <c r="N15" s="28">
        <f>-'Financial Statements'!O27</f>
        <v>0</v>
      </c>
      <c r="O15" s="28">
        <f>-'Financial Statements'!P27</f>
        <v>0</v>
      </c>
      <c r="P15" s="28">
        <f>-'Financial Statements'!Q27</f>
        <v>0</v>
      </c>
      <c r="Q15" s="28">
        <f>-'Financial Statements'!R27</f>
        <v>0</v>
      </c>
    </row>
    <row r="16" spans="1:17" s="7" customFormat="1">
      <c r="A16" s="7" t="s">
        <v>111</v>
      </c>
      <c r="B16" s="14">
        <f>-'Financial Statements'!C28</f>
        <v>0</v>
      </c>
      <c r="C16" s="14">
        <f>-'Financial Statements'!D28</f>
        <v>0</v>
      </c>
      <c r="D16" s="14">
        <f>-'Financial Statements'!E28</f>
        <v>0</v>
      </c>
      <c r="E16" s="14">
        <f>-'Financial Statements'!F28</f>
        <v>0</v>
      </c>
      <c r="F16" s="28">
        <f>-'Financial Statements'!G28</f>
        <v>0</v>
      </c>
      <c r="G16" s="28">
        <f>-'Financial Statements'!H28</f>
        <v>0</v>
      </c>
      <c r="H16" s="28">
        <f>-'Financial Statements'!I28</f>
        <v>0</v>
      </c>
      <c r="I16" s="28">
        <f>-'Financial Statements'!J28</f>
        <v>0</v>
      </c>
      <c r="J16" s="28">
        <f>-'Financial Statements'!K28</f>
        <v>0</v>
      </c>
      <c r="K16" s="28">
        <f>-'Financial Statements'!L28</f>
        <v>0</v>
      </c>
      <c r="L16" s="28">
        <f>-'Financial Statements'!M28</f>
        <v>0</v>
      </c>
      <c r="M16" s="28">
        <f>-'Financial Statements'!N28</f>
        <v>0</v>
      </c>
      <c r="N16" s="28">
        <f>-'Financial Statements'!O28</f>
        <v>0</v>
      </c>
      <c r="O16" s="28">
        <f>-'Financial Statements'!P28</f>
        <v>0</v>
      </c>
      <c r="P16" s="28">
        <f>-'Financial Statements'!Q28</f>
        <v>0</v>
      </c>
      <c r="Q16" s="28">
        <f>-'Financial Statements'!R28</f>
        <v>0</v>
      </c>
    </row>
    <row r="17" spans="1:17" s="7" customFormat="1">
      <c r="A17" s="7" t="s">
        <v>463</v>
      </c>
      <c r="B17" s="14">
        <f>B11+B12+B13+B14+B15+B16</f>
        <v>1572281</v>
      </c>
      <c r="C17" s="14">
        <f t="shared" ref="C17:Q17" si="0">C11+C12+C13+C14+C15+C16</f>
        <v>1692085.0000000005</v>
      </c>
      <c r="D17" s="14">
        <f t="shared" si="0"/>
        <v>1517843.9999999998</v>
      </c>
      <c r="E17" s="14">
        <f t="shared" si="0"/>
        <v>1719000</v>
      </c>
      <c r="F17" s="28">
        <f t="shared" si="0"/>
        <v>1691991.2236974761</v>
      </c>
      <c r="G17" s="28">
        <f t="shared" si="0"/>
        <v>1766553.7353670069</v>
      </c>
      <c r="H17" s="28">
        <f t="shared" si="0"/>
        <v>1841485.3423838541</v>
      </c>
      <c r="I17" s="28">
        <f t="shared" si="0"/>
        <v>1916554.8586684782</v>
      </c>
      <c r="J17" s="28">
        <f t="shared" si="0"/>
        <v>1991520.22515648</v>
      </c>
      <c r="K17" s="28">
        <f t="shared" si="0"/>
        <v>2066129.6292693045</v>
      </c>
      <c r="L17" s="28">
        <f t="shared" si="0"/>
        <v>2140122.7542578494</v>
      </c>
      <c r="M17" s="28">
        <f t="shared" si="0"/>
        <v>2213232.1517670164</v>
      </c>
      <c r="N17" s="28">
        <f t="shared" si="0"/>
        <v>2285184.7292517265</v>
      </c>
      <c r="O17" s="28">
        <f t="shared" si="0"/>
        <v>2355703.3421922605</v>
      </c>
      <c r="P17" s="28">
        <f t="shared" si="0"/>
        <v>2424508.4794355207</v>
      </c>
      <c r="Q17" s="28">
        <f t="shared" si="0"/>
        <v>2497243.733818586</v>
      </c>
    </row>
    <row r="18" spans="1:17" s="7" customFormat="1">
      <c r="A18" s="7" t="s">
        <v>540</v>
      </c>
      <c r="B18" s="14">
        <f>-('Financial Statements'!C34-'Financial Statements'!B34)</f>
        <v>1652065</v>
      </c>
      <c r="C18" s="14">
        <f>-('Financial Statements'!D34-'Financial Statements'!C34)</f>
        <v>0</v>
      </c>
      <c r="D18" s="14">
        <f>-('Financial Statements'!E34-'Financial Statements'!D34)</f>
        <v>0</v>
      </c>
      <c r="E18" s="14">
        <f>-('Financial Statements'!F34-'Financial Statements'!E34)</f>
        <v>0</v>
      </c>
      <c r="F18" s="28">
        <f>-('Financial Statements'!G34-'Financial Statements'!F34)</f>
        <v>0</v>
      </c>
      <c r="G18" s="28">
        <f>-('Financial Statements'!H34-'Financial Statements'!G34)</f>
        <v>0</v>
      </c>
      <c r="H18" s="28">
        <f>-('Financial Statements'!I34-'Financial Statements'!H34)</f>
        <v>0</v>
      </c>
      <c r="I18" s="28">
        <f>-('Financial Statements'!J34-'Financial Statements'!I34)</f>
        <v>0</v>
      </c>
      <c r="J18" s="28">
        <f>-('Financial Statements'!K34-'Financial Statements'!J34)</f>
        <v>0</v>
      </c>
      <c r="K18" s="28">
        <f>-('Financial Statements'!L34-'Financial Statements'!K34)</f>
        <v>0</v>
      </c>
      <c r="L18" s="28">
        <f>-('Financial Statements'!M34-'Financial Statements'!L34)</f>
        <v>0</v>
      </c>
      <c r="M18" s="28">
        <f>-('Financial Statements'!N34-'Financial Statements'!M34)</f>
        <v>0</v>
      </c>
      <c r="N18" s="28">
        <f>-('Financial Statements'!O34-'Financial Statements'!N34)</f>
        <v>0</v>
      </c>
      <c r="O18" s="28">
        <f>-('Financial Statements'!P34-'Financial Statements'!O34)</f>
        <v>0</v>
      </c>
      <c r="P18" s="28">
        <f>-('Financial Statements'!Q34-'Financial Statements'!P34)</f>
        <v>0</v>
      </c>
      <c r="Q18" s="28">
        <f>-('Financial Statements'!R34-'Financial Statements'!Q34)</f>
        <v>0</v>
      </c>
    </row>
    <row r="19" spans="1:17" s="7" customFormat="1">
      <c r="A19" s="7" t="s">
        <v>376</v>
      </c>
      <c r="B19" s="14">
        <f>-('Financial Statements'!C35-'Financial Statements'!B35)</f>
        <v>-350531</v>
      </c>
      <c r="C19" s="14">
        <f>-('Financial Statements'!D35-'Financial Statements'!C35)</f>
        <v>-267634</v>
      </c>
      <c r="D19" s="14">
        <f>-('Financial Statements'!E35-'Financial Statements'!D35)</f>
        <v>56733</v>
      </c>
      <c r="E19" s="14">
        <f>-('Financial Statements'!F35-'Financial Statements'!E35)</f>
        <v>-124000</v>
      </c>
      <c r="F19" s="28">
        <f>-('Financial Statements'!G35-'Financial Statements'!F35)</f>
        <v>-135898.36536701443</v>
      </c>
      <c r="G19" s="28">
        <f>-('Financial Statements'!H35-'Financial Statements'!G35)</f>
        <v>-137171.68617016496</v>
      </c>
      <c r="H19" s="28">
        <f>-('Financial Statements'!I35-'Financial Statements'!H35)</f>
        <v>-138051.73898246977</v>
      </c>
      <c r="I19" s="28">
        <f>-('Financial Statements'!J35-'Financial Statements'!I35)</f>
        <v>-138515.88533339556</v>
      </c>
      <c r="J19" s="28">
        <f>-('Financial Statements'!K35-'Financial Statements'!J35)</f>
        <v>-138543.17800698802</v>
      </c>
      <c r="K19" s="28">
        <f>-('Financial Statements'!L35-'Financial Statements'!K35)</f>
        <v>-138114.61241177283</v>
      </c>
      <c r="L19" s="28">
        <f>-('Financial Statements'!M35-'Financial Statements'!L35)</f>
        <v>-137213.37041400652</v>
      </c>
      <c r="M19" s="28">
        <f>-('Financial Statements'!N35-'Financial Statements'!M35)</f>
        <v>-135825.05346879968</v>
      </c>
      <c r="N19" s="28">
        <f>-('Financial Statements'!O35-'Financial Statements'!N35)</f>
        <v>-133937.90187772783</v>
      </c>
      <c r="O19" s="28">
        <f>-('Financial Statements'!P35-'Financial Statements'!O35)</f>
        <v>-131542.99704235606</v>
      </c>
      <c r="P19" s="28">
        <f>-('Financial Statements'!Q35-'Financial Statements'!P35)</f>
        <v>-128634.44367224071</v>
      </c>
      <c r="Q19" s="28">
        <f>-('Financial Statements'!R35-'Financial Statements'!Q35)</f>
        <v>-132493.4769824082</v>
      </c>
    </row>
    <row r="20" spans="1:17" s="7" customFormat="1">
      <c r="A20" s="7" t="s">
        <v>16</v>
      </c>
      <c r="B20" s="14">
        <f>-('Financial Statements'!C36-'Financial Statements'!B36)</f>
        <v>-103038.00000000041</v>
      </c>
      <c r="C20" s="14">
        <f>-('Financial Statements'!D36-'Financial Statements'!C36)</f>
        <v>-11944.000000000087</v>
      </c>
      <c r="D20" s="14">
        <f>-('Financial Statements'!E36-'Financial Statements'!D36)</f>
        <v>-20515.000000000087</v>
      </c>
      <c r="E20" s="14">
        <f>-('Financial Statements'!F36-'Financial Statements'!E36)</f>
        <v>-70000</v>
      </c>
      <c r="F20" s="28">
        <f>-('Financial Statements'!G36-'Financial Statements'!F36)</f>
        <v>-13715.367014460906</v>
      </c>
      <c r="G20" s="28">
        <f>-('Financial Statements'!H36-'Financial Statements'!G36)</f>
        <v>-13843.875272048812</v>
      </c>
      <c r="H20" s="28">
        <f>-('Financial Statements'!I36-'Financial Statements'!H36)</f>
        <v>-13932.69346555887</v>
      </c>
      <c r="I20" s="28">
        <f>-('Financial Statements'!J36-'Financial Statements'!I36)</f>
        <v>-13979.536836589745</v>
      </c>
      <c r="J20" s="28">
        <f>-('Financial Statements'!K36-'Financial Statements'!J36)</f>
        <v>-13982.291314423957</v>
      </c>
      <c r="K20" s="28">
        <f>-('Financial Statements'!L36-'Financial Statements'!K36)</f>
        <v>-13939.038885211456</v>
      </c>
      <c r="L20" s="28">
        <f>-('Financial Statements'!M36-'Financial Statements'!L36)</f>
        <v>-13848.082200524106</v>
      </c>
      <c r="M20" s="28">
        <f>-('Financial Statements'!N36-'Financial Statements'!M36)</f>
        <v>-13707.968105814536</v>
      </c>
      <c r="N20" s="28">
        <f>-('Financial Statements'!O36-'Financial Statements'!N36)</f>
        <v>-13517.509768706746</v>
      </c>
      <c r="O20" s="28">
        <f>-('Financial Statements'!P36-'Financial Statements'!O36)</f>
        <v>-13275.807091171737</v>
      </c>
      <c r="P20" s="28">
        <f>-('Financial Statements'!Q36-'Financial Statements'!P36)</f>
        <v>-12982.26509863534</v>
      </c>
      <c r="Q20" s="28">
        <f>-('Financial Statements'!R36-'Financial Statements'!Q36)</f>
        <v>-13371.733051594347</v>
      </c>
    </row>
    <row r="21" spans="1:17" s="7" customFormat="1">
      <c r="A21" s="7" t="s">
        <v>17</v>
      </c>
      <c r="B21" s="14">
        <f>('Financial Statements'!C45-'Financial Statements'!B45)</f>
        <v>104405</v>
      </c>
      <c r="C21" s="14">
        <f>('Financial Statements'!D45-'Financial Statements'!C45)</f>
        <v>-98391</v>
      </c>
      <c r="D21" s="14">
        <f>('Financial Statements'!E45-'Financial Statements'!D45)</f>
        <v>45015</v>
      </c>
      <c r="E21" s="14">
        <f>('Financial Statements'!F45-'Financial Statements'!E45)</f>
        <v>307000</v>
      </c>
      <c r="F21" s="28">
        <f>('Financial Statements'!G45-'Financial Statements'!F45)</f>
        <v>55233.41021416802</v>
      </c>
      <c r="G21" s="28">
        <f>('Financial Statements'!H45-'Financial Statements'!G45)</f>
        <v>55750.928214216838</v>
      </c>
      <c r="H21" s="28">
        <f>('Financial Statements'!I45-'Financial Statements'!H45)</f>
        <v>56108.609617233742</v>
      </c>
      <c r="I21" s="28">
        <f>('Financial Statements'!J45-'Financial Statements'!I45)</f>
        <v>56297.253430063138</v>
      </c>
      <c r="J21" s="28">
        <f>('Financial Statements'!K45-'Financial Statements'!J45)</f>
        <v>56308.346039104275</v>
      </c>
      <c r="K21" s="28">
        <f>('Financial Statements'!L45-'Financial Statements'!K45)</f>
        <v>56134.163375020726</v>
      </c>
      <c r="L21" s="28">
        <f>('Financial Statements'!M45-'Financial Statements'!L45)</f>
        <v>55767.870014314074</v>
      </c>
      <c r="M21" s="28">
        <f>('Financial Statements'!N45-'Financial Statements'!M45)</f>
        <v>55203.613931212574</v>
      </c>
      <c r="N21" s="28">
        <f>('Financial Statements'!O45-'Financial Statements'!N45)</f>
        <v>54436.615610927343</v>
      </c>
      <c r="O21" s="28">
        <f>('Financial Statements'!P45-'Financial Statements'!O45)</f>
        <v>53463.250251905294</v>
      </c>
      <c r="P21" s="28">
        <f>('Financial Statements'!Q45-'Financial Statements'!P45)</f>
        <v>52281.121820944827</v>
      </c>
      <c r="Q21" s="28">
        <f>('Financial Statements'!R45-'Financial Statements'!Q45)</f>
        <v>53849.555475573288</v>
      </c>
    </row>
    <row r="22" spans="1:17" s="7" customFormat="1">
      <c r="A22" s="7" t="s">
        <v>104</v>
      </c>
      <c r="B22" s="14">
        <f>('Financial Statements'!C46-'Financial Statements'!B46)</f>
        <v>66355</v>
      </c>
      <c r="C22" s="14">
        <f>('Financial Statements'!D46-'Financial Statements'!C46)</f>
        <v>-109009</v>
      </c>
      <c r="D22" s="14">
        <f>('Financial Statements'!E46-'Financial Statements'!D46)</f>
        <v>-19254</v>
      </c>
      <c r="E22" s="14">
        <f>('Financial Statements'!F46-'Financial Statements'!E46)</f>
        <v>79000</v>
      </c>
      <c r="F22" s="28">
        <f>('Financial Statements'!G46-'Financial Statements'!F46)</f>
        <v>8554.6695954603783</v>
      </c>
      <c r="G22" s="28">
        <f>('Financial Statements'!H46-'Financial Statements'!G46)</f>
        <v>8634.82389849826</v>
      </c>
      <c r="H22" s="28">
        <f>('Financial Statements'!I46-'Financial Statements'!H46)</f>
        <v>8690.2223649587249</v>
      </c>
      <c r="I22" s="28">
        <f>('Financial Statements'!J46-'Financial Statements'!I46)</f>
        <v>8719.4399251949508</v>
      </c>
      <c r="J22" s="28">
        <f>('Financial Statements'!K46-'Financial Statements'!J46)</f>
        <v>8721.1579723865143</v>
      </c>
      <c r="K22" s="28">
        <f>('Financial Statements'!L46-'Financial Statements'!K46)</f>
        <v>8694.1801860301639</v>
      </c>
      <c r="L22" s="28">
        <f>('Financial Statements'!M46-'Financial Statements'!L46)</f>
        <v>8637.4478810048895</v>
      </c>
      <c r="M22" s="28">
        <f>('Financial Statements'!N46-'Financial Statements'!M46)</f>
        <v>8550.054682948743</v>
      </c>
      <c r="N22" s="28">
        <f>('Financial Statements'!O46-'Financial Statements'!N46)</f>
        <v>8431.2603303119831</v>
      </c>
      <c r="O22" s="28">
        <f>('Financial Statements'!P46-'Financial Statements'!O46)</f>
        <v>8280.5034060190083</v>
      </c>
      <c r="P22" s="28">
        <f>('Financial Statements'!Q46-'Financial Statements'!P46)</f>
        <v>8097.4128072843887</v>
      </c>
      <c r="Q22" s="28">
        <f>('Financial Statements'!R46-'Financial Statements'!Q46)</f>
        <v>8340.3351915029343</v>
      </c>
    </row>
    <row r="23" spans="1:17" s="7" customFormat="1">
      <c r="A23" s="7" t="s">
        <v>212</v>
      </c>
      <c r="B23" s="14">
        <f>('Financial Statements'!C47-'Financial Statements'!B47)</f>
        <v>90543</v>
      </c>
      <c r="C23" s="14">
        <f>('Financial Statements'!D47-'Financial Statements'!C47)</f>
        <v>66330.000000000116</v>
      </c>
      <c r="D23" s="14">
        <f>('Financial Statements'!E47-'Financial Statements'!D47)</f>
        <v>13491.999999999884</v>
      </c>
      <c r="E23" s="14">
        <f>('Financial Statements'!F47-'Financial Statements'!E47)</f>
        <v>190000</v>
      </c>
      <c r="F23" s="28">
        <f>('Financial Statements'!G47-'Financial Statements'!F47)</f>
        <v>46585.755079626571</v>
      </c>
      <c r="G23" s="28">
        <f>('Financial Statements'!H47-'Financial Statements'!G47)</f>
        <v>47022.247534213122</v>
      </c>
      <c r="H23" s="28">
        <f>('Financial Statements'!I47-'Financial Statements'!H47)</f>
        <v>47323.928313525394</v>
      </c>
      <c r="I23" s="28">
        <f>('Financial Statements'!J47-'Financial Statements'!I47)</f>
        <v>47483.036983942147</v>
      </c>
      <c r="J23" s="28">
        <f>('Financial Statements'!K47-'Financial Statements'!J47)</f>
        <v>47492.39287136565</v>
      </c>
      <c r="K23" s="28">
        <f>('Financial Statements'!L47-'Financial Statements'!K47)</f>
        <v>47345.481230446836</v>
      </c>
      <c r="L23" s="28">
        <f>('Financial Statements'!M47-'Financial Statements'!L47)</f>
        <v>47036.53683025483</v>
      </c>
      <c r="M23" s="28">
        <f>('Financial Statements'!N47-'Financial Statements'!M47)</f>
        <v>46560.623871275224</v>
      </c>
      <c r="N23" s="28">
        <f>('Financial Statements'!O47-'Financial Statements'!N47)</f>
        <v>45913.7111465903</v>
      </c>
      <c r="O23" s="28">
        <f>('Financial Statements'!P47-'Financial Statements'!O47)</f>
        <v>45092.741374081699</v>
      </c>
      <c r="P23" s="28">
        <f>('Financial Statements'!Q47-'Financial Statements'!P47)</f>
        <v>44095.693657059688</v>
      </c>
      <c r="Q23" s="28">
        <f>('Financial Statements'!R47-'Financial Statements'!Q47)</f>
        <v>45418.564466771204</v>
      </c>
    </row>
    <row r="24" spans="1:17" s="7" customFormat="1">
      <c r="A24" s="7" t="s">
        <v>459</v>
      </c>
      <c r="B24" s="14">
        <f>B17+B18+B19+B20+B21+B22+B23</f>
        <v>3032079.9999999995</v>
      </c>
      <c r="C24" s="14">
        <f>C17+C18+C19+C20+C21+C22+C23</f>
        <v>1271437.0000000005</v>
      </c>
      <c r="D24" s="14">
        <f>D17+D18+D19+D20+D21+D22+D23</f>
        <v>1593314.9999999995</v>
      </c>
      <c r="E24" s="14">
        <f>E17+E18+E19+E20+E21+E22+E23</f>
        <v>2101000</v>
      </c>
      <c r="F24" s="28">
        <f t="shared" ref="F24:Q24" si="1">F17+F18+F19+F20+F21+F22+F23</f>
        <v>1652751.3262052557</v>
      </c>
      <c r="G24" s="28">
        <f t="shared" si="1"/>
        <v>1726946.1735717212</v>
      </c>
      <c r="H24" s="28">
        <f t="shared" si="1"/>
        <v>1801623.6702315435</v>
      </c>
      <c r="I24" s="28">
        <f t="shared" si="1"/>
        <v>1876559.1668376932</v>
      </c>
      <c r="J24" s="28">
        <f t="shared" si="1"/>
        <v>1951516.6527179244</v>
      </c>
      <c r="K24" s="28">
        <f t="shared" si="1"/>
        <v>2026249.8027638181</v>
      </c>
      <c r="L24" s="28">
        <f t="shared" si="1"/>
        <v>2100503.1563688926</v>
      </c>
      <c r="M24" s="28">
        <f t="shared" si="1"/>
        <v>2174013.4226778387</v>
      </c>
      <c r="N24" s="28">
        <f t="shared" si="1"/>
        <v>2246510.9046931216</v>
      </c>
      <c r="O24" s="28">
        <f t="shared" si="1"/>
        <v>2317721.0330907386</v>
      </c>
      <c r="P24" s="28">
        <f t="shared" si="1"/>
        <v>2387365.9989499333</v>
      </c>
      <c r="Q24" s="28">
        <f t="shared" si="1"/>
        <v>2458986.9789184309</v>
      </c>
    </row>
    <row r="26" spans="1:17">
      <c r="A26" s="25" t="s">
        <v>282</v>
      </c>
      <c r="B26" s="25"/>
      <c r="C26" s="25"/>
    </row>
    <row r="27" spans="1:17">
      <c r="A27" t="s">
        <v>507</v>
      </c>
      <c r="B27" s="33">
        <f>-('Financial Statements'!C38-'Financial Statements'!B38-'Financial Statements'!C18)</f>
        <v>-1196816</v>
      </c>
      <c r="C27" s="33">
        <f>-('Financial Statements'!D38-'Financial Statements'!C38-'Financial Statements'!D18)</f>
        <v>-1608990</v>
      </c>
      <c r="D27" s="33">
        <f>-('Financial Statements'!E38-'Financial Statements'!D38-'Financial Statements'!E18)</f>
        <v>-1015181</v>
      </c>
      <c r="E27" s="33">
        <f>-('Financial Statements'!F38-'Financial Statements'!E38-'Financial Statements'!F18)</f>
        <v>-624000</v>
      </c>
      <c r="F27" s="29">
        <f>-('Financial Statements'!G38-'Financial Statements'!F38-'Financial Statements'!G18)</f>
        <v>-931174.21176574228</v>
      </c>
      <c r="G27" s="29">
        <f>-('Financial Statements'!H38-'Financial Statements'!G38-'Financial Statements'!H18)</f>
        <v>-961844.17165927496</v>
      </c>
      <c r="H27" s="29">
        <f>-('Financial Statements'!I38-'Financial Statements'!H38-'Financial Statements'!I18)</f>
        <v>-991787.66021682241</v>
      </c>
      <c r="I27" s="29">
        <f>-('Financial Statements'!J38-'Financial Statements'!I38-'Financial Statements'!J18)</f>
        <v>-1020868.4999201149</v>
      </c>
      <c r="J27" s="29">
        <f>-('Financial Statements'!K38-'Financial Statements'!J38-'Financial Statements'!K18)</f>
        <v>-1048950.1665090397</v>
      </c>
      <c r="K27" s="29">
        <f>-('Financial Statements'!L38-'Financial Statements'!K38-'Financial Statements'!L18)</f>
        <v>-1075896.7599671083</v>
      </c>
      <c r="L27" s="29">
        <f>-('Financial Statements'!M38-'Financial Statements'!L38-'Financial Statements'!M18)</f>
        <v>-1101574.0074864693</v>
      </c>
      <c r="M27" s="29">
        <f>-('Financial Statements'!N38-'Financial Statements'!M38-'Financial Statements'!N18)</f>
        <v>-1125850.2889681468</v>
      </c>
      <c r="N27" s="29">
        <f>-('Financial Statements'!O38-'Financial Statements'!N38-'Financial Statements'!O18)</f>
        <v>-1148597.6749579553</v>
      </c>
      <c r="O27" s="29">
        <f>-('Financial Statements'!P38-'Financial Statements'!O38-'Financial Statements'!P18)</f>
        <v>-1169692.9663793999</v>
      </c>
      <c r="P27" s="29">
        <f>-('Financial Statements'!Q38-'Financial Statements'!P38-'Financial Statements'!Q18)</f>
        <v>-1189018.7250147969</v>
      </c>
      <c r="Q27" s="29">
        <f>-('Financial Statements'!R38-'Financial Statements'!Q38-'Financial Statements'!R18)</f>
        <v>-1224689.2867652406</v>
      </c>
    </row>
    <row r="28" spans="1:17">
      <c r="A28" t="s">
        <v>105</v>
      </c>
      <c r="B28" s="33">
        <f>-('Financial Statements'!C39-'Financial Statements'!B39)</f>
        <v>0</v>
      </c>
      <c r="C28" s="33">
        <f>-('Financial Statements'!D39-'Financial Statements'!C39)</f>
        <v>0</v>
      </c>
      <c r="D28" s="33">
        <f>-('Financial Statements'!E39-'Financial Statements'!D39)</f>
        <v>-332000</v>
      </c>
      <c r="E28" s="33">
        <f>-('Financial Statements'!F39-'Financial Statements'!E39)</f>
        <v>11000</v>
      </c>
      <c r="F28" s="29">
        <f>-('Financial Statements'!G39-'Financial Statements'!F39)</f>
        <v>-14924.179022515076</v>
      </c>
      <c r="G28" s="29">
        <f>-('Financial Statements'!H39-'Financial Statements'!G39)</f>
        <v>-15064.013431619212</v>
      </c>
      <c r="H28" s="29">
        <f>-('Financial Statements'!I39-'Financial Statements'!H39)</f>
        <v>-15160.659669303044</v>
      </c>
      <c r="I28" s="29">
        <f>-('Financial Statements'!J39-'Financial Statements'!I39)</f>
        <v>-15211.631608628144</v>
      </c>
      <c r="J28" s="29">
        <f>-('Financial Statements'!K39-'Financial Statements'!J39)</f>
        <v>-15214.628854000359</v>
      </c>
      <c r="K28" s="29">
        <f>-('Financial Statements'!L39-'Financial Statements'!K39)</f>
        <v>-15167.56434628088</v>
      </c>
      <c r="L28" s="29">
        <f>-('Financial Statements'!M39-'Financial Statements'!L39)</f>
        <v>-15068.59114023135</v>
      </c>
      <c r="M28" s="29">
        <f>-('Financial Statements'!N39-'Financial Statements'!M39)</f>
        <v>-14916.128006666026</v>
      </c>
      <c r="N28" s="29">
        <f>-('Financial Statements'!O39-'Financial Statements'!N39)</f>
        <v>-14708.883511033375</v>
      </c>
      <c r="O28" s="29">
        <f>-('Financial Statements'!P39-'Financial Statements'!O39)</f>
        <v>-14445.878224631015</v>
      </c>
      <c r="P28" s="29">
        <f>-('Financial Statements'!Q39-'Financial Statements'!P39)</f>
        <v>-14126.464734447247</v>
      </c>
      <c r="Q28" s="29">
        <f>-('Financial Statements'!R39-'Financial Statements'!Q39)</f>
        <v>-14550.258676480618</v>
      </c>
    </row>
    <row r="29" spans="1:17">
      <c r="A29" t="s">
        <v>263</v>
      </c>
      <c r="B29" s="33">
        <f>-('Financial Statements'!C40-'Financial Statements'!B40)</f>
        <v>-6906</v>
      </c>
      <c r="C29" s="33">
        <f>-('Financial Statements'!D40-'Financial Statements'!C40)</f>
        <v>9328</v>
      </c>
      <c r="D29" s="33">
        <f>-('Financial Statements'!E40-'Financial Statements'!D40)</f>
        <v>9296</v>
      </c>
      <c r="E29" s="33">
        <f>-('Financial Statements'!F40-'Financial Statements'!E40)</f>
        <v>6000</v>
      </c>
      <c r="F29" s="29">
        <f>-('Financial Statements'!G40-'Financial Statements'!F40)</f>
        <v>-9484.5249862712808</v>
      </c>
      <c r="G29" s="29">
        <f>-('Financial Statements'!H40-'Financial Statements'!G40)</f>
        <v>-9573.3917135523807</v>
      </c>
      <c r="H29" s="29">
        <f>-('Financial Statements'!I40-'Financial Statements'!H40)</f>
        <v>-9634.8117524542613</v>
      </c>
      <c r="I29" s="29">
        <f>-('Financial Statements'!J40-'Financial Statements'!I40)</f>
        <v>-9667.2051344552601</v>
      </c>
      <c r="J29" s="29">
        <f>-('Financial Statements'!K40-'Financial Statements'!J40)</f>
        <v>-9669.1099259067851</v>
      </c>
      <c r="K29" s="29">
        <f>-('Financial Statements'!L40-'Financial Statements'!K40)</f>
        <v>-9639.1997714682366</v>
      </c>
      <c r="L29" s="29">
        <f>-('Financial Statements'!M40-'Financial Statements'!L40)</f>
        <v>-9576.3009115488676</v>
      </c>
      <c r="M29" s="29">
        <f>-('Financial Statements'!N40-'Financial Statements'!M40)</f>
        <v>-9479.4084528344683</v>
      </c>
      <c r="N29" s="29">
        <f>-('Financial Statements'!O40-'Financial Statements'!N40)</f>
        <v>-9347.7016705633141</v>
      </c>
      <c r="O29" s="29">
        <f>-('Financial Statements'!P40-'Financial Statements'!O40)</f>
        <v>-9180.5581240645261</v>
      </c>
      <c r="P29" s="29">
        <f>-('Financial Statements'!Q40-'Financial Statements'!P40)</f>
        <v>-8977.5663732935791</v>
      </c>
      <c r="Q29" s="29">
        <f>-('Financial Statements'!R40-'Financial Statements'!Q40)</f>
        <v>-9246.8933644923964</v>
      </c>
    </row>
    <row r="30" spans="1:17">
      <c r="A30" t="s">
        <v>106</v>
      </c>
      <c r="B30" s="33">
        <f>-('Financial Statements'!C41-'Financial Statements'!B41)</f>
        <v>62896.999999999935</v>
      </c>
      <c r="C30" s="33">
        <f>-('Financial Statements'!D41-'Financial Statements'!C41)</f>
        <v>-48538.99999999976</v>
      </c>
      <c r="D30" s="33">
        <f>-('Financial Statements'!E41-'Financial Statements'!D41)</f>
        <v>-922.00000000048021</v>
      </c>
      <c r="E30" s="33">
        <f>-('Financial Statements'!F41-'Financial Statements'!E41)</f>
        <v>-24000</v>
      </c>
      <c r="F30" s="29">
        <f>-('Financial Statements'!G41-'Financial Statements'!F41)</f>
        <v>-6137.0455793520086</v>
      </c>
      <c r="G30" s="29">
        <f>-('Financial Statements'!H41-'Financial Statements'!G41)</f>
        <v>-6194.5475793574296</v>
      </c>
      <c r="H30" s="29">
        <f>-('Financial Statements'!I41-'Financial Statements'!H41)</f>
        <v>-6234.2899574704061</v>
      </c>
      <c r="I30" s="29">
        <f>-('Financial Statements'!J41-'Financial Statements'!I41)</f>
        <v>-6255.2503811181232</v>
      </c>
      <c r="J30" s="29">
        <f>-('Financial Statements'!K41-'Financial Statements'!J41)</f>
        <v>-6256.4828932337696</v>
      </c>
      <c r="K30" s="29">
        <f>-('Financial Statements'!L41-'Financial Statements'!K41)</f>
        <v>-6237.1292638912273</v>
      </c>
      <c r="L30" s="29">
        <f>-('Financial Statements'!M41-'Financial Statements'!L41)</f>
        <v>-6196.4300015904591</v>
      </c>
      <c r="M30" s="29">
        <f>-('Financial Statements'!N41-'Financial Statements'!M41)</f>
        <v>-6133.7348812458222</v>
      </c>
      <c r="N30" s="29">
        <f>-('Financial Statements'!O41-'Financial Statements'!N41)</f>
        <v>-6048.5128456586099</v>
      </c>
      <c r="O30" s="29">
        <f>-('Financial Statements'!P41-'Financial Statements'!O41)</f>
        <v>-5940.3611391005688</v>
      </c>
      <c r="P30" s="29">
        <f>-('Financial Statements'!Q41-'Financial Statements'!P41)</f>
        <v>-5809.013535660546</v>
      </c>
      <c r="Q30" s="29">
        <f>-('Financial Statements'!R41-'Financial Statements'!Q41)</f>
        <v>-5983.2839417303621</v>
      </c>
    </row>
    <row r="31" spans="1:17">
      <c r="A31" t="s">
        <v>9</v>
      </c>
      <c r="B31" s="33">
        <f>B27+B28+B29+B30</f>
        <v>-1140825</v>
      </c>
      <c r="C31" s="33">
        <f>C27+C28+C29+C30</f>
        <v>-1648200.9999999998</v>
      </c>
      <c r="D31" s="33">
        <f>D27+D28+D29+D30</f>
        <v>-1338807.0000000005</v>
      </c>
      <c r="E31" s="33">
        <f>E27+E28+E29+E30</f>
        <v>-631000</v>
      </c>
      <c r="F31" s="29">
        <f t="shared" ref="F31:Q31" si="2">F27+F28+F29+F30</f>
        <v>-961719.96135388059</v>
      </c>
      <c r="G31" s="29">
        <f t="shared" si="2"/>
        <v>-992676.12438380392</v>
      </c>
      <c r="H31" s="29">
        <f t="shared" si="2"/>
        <v>-1022817.42159605</v>
      </c>
      <c r="I31" s="29">
        <f t="shared" si="2"/>
        <v>-1052002.5870443163</v>
      </c>
      <c r="J31" s="29">
        <f t="shared" si="2"/>
        <v>-1080090.3881821809</v>
      </c>
      <c r="K31" s="29">
        <f t="shared" si="2"/>
        <v>-1106940.6533487486</v>
      </c>
      <c r="L31" s="29">
        <f t="shared" si="2"/>
        <v>-1132415.3295398399</v>
      </c>
      <c r="M31" s="29">
        <f t="shared" si="2"/>
        <v>-1156379.560308893</v>
      </c>
      <c r="N31" s="29">
        <f t="shared" si="2"/>
        <v>-1178702.7729852106</v>
      </c>
      <c r="O31" s="29">
        <f t="shared" si="2"/>
        <v>-1199259.7638671959</v>
      </c>
      <c r="P31" s="29">
        <f t="shared" si="2"/>
        <v>-1217931.7696581981</v>
      </c>
      <c r="Q31" s="29">
        <f t="shared" si="2"/>
        <v>-1254469.7227479438</v>
      </c>
    </row>
    <row r="33" spans="1:17">
      <c r="A33" s="25" t="s">
        <v>405</v>
      </c>
      <c r="B33" s="25"/>
      <c r="C33" s="25"/>
    </row>
    <row r="34" spans="1:17">
      <c r="A34" t="s">
        <v>107</v>
      </c>
      <c r="B34" s="33">
        <f>('Financial Statements'!C44+'Financial Statements'!C49-'Financial Statements'!B44-'Financial Statements'!B49)</f>
        <v>-95147</v>
      </c>
      <c r="C34" s="33">
        <f>('Financial Statements'!D44+'Financial Statements'!D49-'Financial Statements'!C44-'Financial Statements'!C49)</f>
        <v>1005678</v>
      </c>
      <c r="D34" s="33">
        <f>('Financial Statements'!E44+'Financial Statements'!E49-'Financial Statements'!D44-'Financial Statements'!D49)</f>
        <v>5424</v>
      </c>
      <c r="E34" s="33">
        <f>('Financial Statements'!F44+'Financial Statements'!F49-'Financial Statements'!E44-'Financial Statements'!E49)</f>
        <v>-2000</v>
      </c>
      <c r="F34" s="29">
        <f>('Financial Statements'!G44+'Financial Statements'!G49-'Financial Statements'!F44-'Financial Statements'!F49)</f>
        <v>96147.04740984831</v>
      </c>
      <c r="G34" s="29">
        <f>('Financial Statements'!H44+'Financial Statements'!H49-'Financial Statements'!G44-'Financial Statements'!G49)</f>
        <v>97047.91207659943</v>
      </c>
      <c r="H34" s="29">
        <f>('Financial Statements'!I44+'Financial Statements'!I49-'Financial Statements'!H44-'Financial Statements'!H49)</f>
        <v>97670.54266703641</v>
      </c>
      <c r="I34" s="29">
        <f>('Financial Statements'!J44+'Financial Statements'!J49-'Financial Statements'!I44-'Financial Statements'!I49)</f>
        <v>97998.922637517098</v>
      </c>
      <c r="J34" s="29">
        <f>('Financial Statements'!K44+'Financial Statements'!K49-'Financial Statements'!J44-'Financial Statements'!J49)</f>
        <v>98018.231993996073</v>
      </c>
      <c r="K34" s="29">
        <f>('Financial Statements'!L44+'Financial Statements'!L49-'Financial Statements'!K44-'Financial Statements'!K49)</f>
        <v>97715.025134296156</v>
      </c>
      <c r="L34" s="29">
        <f>('Financial Statements'!M44+'Financial Statements'!M49-'Financial Statements'!L44-'Financial Statements'!L49)</f>
        <v>97077.403358249459</v>
      </c>
      <c r="M34" s="29">
        <f>('Financial Statements'!N44+'Financial Statements'!N49-'Financial Statements'!M44-'Financial Statements'!M49)</f>
        <v>96095.179806184489</v>
      </c>
      <c r="N34" s="29">
        <f>('Financial Statements'!O44+'Financial Statements'!O49-'Financial Statements'!N44-'Financial Statements'!N49)</f>
        <v>94760.034581986256</v>
      </c>
      <c r="O34" s="29">
        <f>('Financial Statements'!P44+'Financial Statements'!P49-'Financial Statements'!O44-'Financial Statements'!O49)</f>
        <v>93065.657845908776</v>
      </c>
      <c r="P34" s="29">
        <f>('Financial Statements'!Q44+'Financial Statements'!Q49-'Financial Statements'!P44-'Financial Statements'!P49)</f>
        <v>91007.87872534804</v>
      </c>
      <c r="Q34" s="29">
        <f>('Financial Statements'!R44+'Financial Statements'!R49-'Financial Statements'!Q44-'Financial Statements'!Q49)</f>
        <v>93738.115087108687</v>
      </c>
    </row>
    <row r="35" spans="1:17">
      <c r="A35" t="s">
        <v>433</v>
      </c>
      <c r="B35" s="33">
        <f>'Financial Statements'!C27+'Financial Statements'!C53-'Financial Statements'!B53</f>
        <v>0</v>
      </c>
      <c r="C35" s="33">
        <f>'Financial Statements'!D27+'Financial Statements'!D53-'Financial Statements'!C53</f>
        <v>0</v>
      </c>
      <c r="D35" s="33">
        <f>'Financial Statements'!E27+'Financial Statements'!E53-'Financial Statements'!D53</f>
        <v>0</v>
      </c>
      <c r="E35" s="33">
        <f>'Financial Statements'!F27+'Financial Statements'!F53-'Financial Statements'!E53</f>
        <v>0</v>
      </c>
      <c r="F35" s="29">
        <f>'Financial Statements'!G27+'Financial Statements'!G53-'Financial Statements'!F53</f>
        <v>0</v>
      </c>
      <c r="G35" s="29">
        <f>'Financial Statements'!H27+'Financial Statements'!H53-'Financial Statements'!G53</f>
        <v>0</v>
      </c>
      <c r="H35" s="29">
        <f>'Financial Statements'!I27+'Financial Statements'!I53-'Financial Statements'!H53</f>
        <v>0</v>
      </c>
      <c r="I35" s="29">
        <f>'Financial Statements'!J27+'Financial Statements'!J53-'Financial Statements'!I53</f>
        <v>0</v>
      </c>
      <c r="J35" s="29">
        <f>'Financial Statements'!K27+'Financial Statements'!K53-'Financial Statements'!J53</f>
        <v>0</v>
      </c>
      <c r="K35" s="29">
        <f>'Financial Statements'!L27+'Financial Statements'!L53-'Financial Statements'!K53</f>
        <v>0</v>
      </c>
      <c r="L35" s="29">
        <f>'Financial Statements'!M27+'Financial Statements'!M53-'Financial Statements'!L53</f>
        <v>0</v>
      </c>
      <c r="M35" s="29">
        <f>'Financial Statements'!N27+'Financial Statements'!N53-'Financial Statements'!M53</f>
        <v>0</v>
      </c>
      <c r="N35" s="29">
        <f>'Financial Statements'!O27+'Financial Statements'!O53-'Financial Statements'!N53</f>
        <v>0</v>
      </c>
      <c r="O35" s="29">
        <f>'Financial Statements'!P27+'Financial Statements'!P53-'Financial Statements'!O53</f>
        <v>0</v>
      </c>
      <c r="P35" s="29">
        <f>'Financial Statements'!Q27+'Financial Statements'!Q53-'Financial Statements'!P53</f>
        <v>0</v>
      </c>
      <c r="Q35" s="29">
        <f>'Financial Statements'!R27+'Financial Statements'!R53-'Financial Statements'!Q53</f>
        <v>0</v>
      </c>
    </row>
    <row r="36" spans="1:17">
      <c r="A36" t="s">
        <v>244</v>
      </c>
      <c r="B36" s="33">
        <f>'Financial Statements'!C28</f>
        <v>0</v>
      </c>
      <c r="C36" s="33">
        <f>'Financial Statements'!D28</f>
        <v>0</v>
      </c>
      <c r="D36" s="33">
        <f>'Financial Statements'!E28</f>
        <v>0</v>
      </c>
      <c r="E36" s="33">
        <f>'Financial Statements'!F28</f>
        <v>0</v>
      </c>
      <c r="F36" s="29">
        <f>'Financial Statements'!G28</f>
        <v>0</v>
      </c>
      <c r="G36" s="29">
        <f>'Financial Statements'!H28</f>
        <v>0</v>
      </c>
      <c r="H36" s="29">
        <f>'Financial Statements'!I28</f>
        <v>0</v>
      </c>
      <c r="I36" s="29">
        <f>'Financial Statements'!J28</f>
        <v>0</v>
      </c>
      <c r="J36" s="29">
        <f>'Financial Statements'!K28</f>
        <v>0</v>
      </c>
      <c r="K36" s="29">
        <f>'Financial Statements'!L28</f>
        <v>0</v>
      </c>
      <c r="L36" s="29">
        <f>'Financial Statements'!M28</f>
        <v>0</v>
      </c>
      <c r="M36" s="29">
        <f>'Financial Statements'!N28</f>
        <v>0</v>
      </c>
      <c r="N36" s="29">
        <f>'Financial Statements'!O28</f>
        <v>0</v>
      </c>
      <c r="O36" s="29">
        <f>'Financial Statements'!P28</f>
        <v>0</v>
      </c>
      <c r="P36" s="29">
        <f>'Financial Statements'!Q28</f>
        <v>0</v>
      </c>
      <c r="Q36" s="29">
        <f>'Financial Statements'!R28</f>
        <v>0</v>
      </c>
    </row>
    <row r="37" spans="1:17">
      <c r="A37" t="s">
        <v>108</v>
      </c>
      <c r="B37" s="33">
        <f>'Financial Statements'!C54-'Financial Statements'!B54</f>
        <v>0</v>
      </c>
      <c r="C37" s="33">
        <f>'Financial Statements'!D54-'Financial Statements'!C54</f>
        <v>0</v>
      </c>
      <c r="D37" s="33">
        <f>'Financial Statements'!E54-'Financial Statements'!D54</f>
        <v>0</v>
      </c>
      <c r="E37" s="33">
        <f>'Financial Statements'!F54-'Financial Statements'!E54</f>
        <v>0</v>
      </c>
      <c r="F37" s="29">
        <f>'Financial Statements'!G54-'Financial Statements'!F54</f>
        <v>0</v>
      </c>
      <c r="G37" s="29">
        <f>'Financial Statements'!H54-'Financial Statements'!G54</f>
        <v>0</v>
      </c>
      <c r="H37" s="29">
        <f>'Financial Statements'!I54-'Financial Statements'!H54</f>
        <v>0</v>
      </c>
      <c r="I37" s="29">
        <f>'Financial Statements'!J54-'Financial Statements'!I54</f>
        <v>0</v>
      </c>
      <c r="J37" s="29">
        <f>'Financial Statements'!K54-'Financial Statements'!J54</f>
        <v>0</v>
      </c>
      <c r="K37" s="29">
        <f>'Financial Statements'!L54-'Financial Statements'!K54</f>
        <v>0</v>
      </c>
      <c r="L37" s="29">
        <f>'Financial Statements'!M54-'Financial Statements'!L54</f>
        <v>0</v>
      </c>
      <c r="M37" s="29">
        <f>'Financial Statements'!N54-'Financial Statements'!M54</f>
        <v>0</v>
      </c>
      <c r="N37" s="29">
        <f>'Financial Statements'!O54-'Financial Statements'!N54</f>
        <v>0</v>
      </c>
      <c r="O37" s="29">
        <f>'Financial Statements'!P54-'Financial Statements'!O54</f>
        <v>0</v>
      </c>
      <c r="P37" s="29">
        <f>'Financial Statements'!Q54-'Financial Statements'!P54</f>
        <v>0</v>
      </c>
      <c r="Q37" s="29">
        <f>'Financial Statements'!R54-'Financial Statements'!Q54</f>
        <v>0</v>
      </c>
    </row>
    <row r="38" spans="1:17">
      <c r="A38" t="s">
        <v>143</v>
      </c>
      <c r="B38" s="33">
        <f>'Financial Statements'!C64</f>
        <v>0</v>
      </c>
      <c r="C38" s="33">
        <f>'Financial Statements'!D64</f>
        <v>0</v>
      </c>
      <c r="D38" s="33">
        <f>'Financial Statements'!E64</f>
        <v>0</v>
      </c>
      <c r="E38" s="33">
        <f>'Financial Statements'!F64</f>
        <v>0</v>
      </c>
      <c r="F38" s="29">
        <f>'Financial Statements'!G64</f>
        <v>0</v>
      </c>
      <c r="G38" s="29">
        <f>'Financial Statements'!H64</f>
        <v>0</v>
      </c>
      <c r="H38" s="29">
        <f>'Financial Statements'!I64</f>
        <v>0</v>
      </c>
      <c r="I38" s="29">
        <f>'Financial Statements'!J64</f>
        <v>0</v>
      </c>
      <c r="J38" s="29">
        <f>'Financial Statements'!K64</f>
        <v>0</v>
      </c>
      <c r="K38" s="29">
        <f>'Financial Statements'!L64</f>
        <v>0</v>
      </c>
      <c r="L38" s="29">
        <f>'Financial Statements'!M64</f>
        <v>0</v>
      </c>
      <c r="M38" s="29">
        <f>'Financial Statements'!N64</f>
        <v>0</v>
      </c>
      <c r="N38" s="29">
        <f>'Financial Statements'!O64</f>
        <v>0</v>
      </c>
      <c r="O38" s="29">
        <f>'Financial Statements'!P64</f>
        <v>0</v>
      </c>
      <c r="P38" s="29">
        <f>'Financial Statements'!Q64</f>
        <v>0</v>
      </c>
      <c r="Q38" s="29">
        <f>'Financial Statements'!R64</f>
        <v>0</v>
      </c>
    </row>
    <row r="39" spans="1:17">
      <c r="A39" t="s">
        <v>254</v>
      </c>
      <c r="B39" s="33">
        <f>'Financial Statements'!C55-'Financial Statements'!B55</f>
        <v>-1462623.9999999991</v>
      </c>
      <c r="C39" s="33">
        <f>'Financial Statements'!D55-'Financial Statements'!C55</f>
        <v>-585643.00000000093</v>
      </c>
      <c r="D39" s="33">
        <f>'Financial Statements'!E55-'Financial Statements'!D55</f>
        <v>-201217.99999999983</v>
      </c>
      <c r="E39" s="33">
        <f>'Financial Statements'!F55-'Financial Statements'!E55</f>
        <v>113000</v>
      </c>
      <c r="F39" s="29">
        <f>'Financial Statements'!G55-'Financial Statements'!F55</f>
        <v>-681779.30371280573</v>
      </c>
      <c r="G39" s="29">
        <f>'Financial Statements'!H55-'Financial Statements'!G55</f>
        <v>-724931.29942813143</v>
      </c>
      <c r="H39" s="29">
        <f>'Financial Statements'!I55-'Financial Statements'!H55</f>
        <v>-769407.58422991261</v>
      </c>
      <c r="I39" s="29">
        <f>'Financial Statements'!J55-'Financial Statements'!I55</f>
        <v>-815126.31596123613</v>
      </c>
      <c r="J39" s="29">
        <f>'Financial Statements'!K55-'Financial Statements'!J55</f>
        <v>-861994.14259821549</v>
      </c>
      <c r="K39" s="29">
        <f>'Financial Statements'!L55-'Financial Statements'!K55</f>
        <v>-909906.20453996025</v>
      </c>
      <c r="L39" s="29">
        <f>'Financial Statements'!M55-'Financial Statements'!L55</f>
        <v>-958746.23917514458</v>
      </c>
      <c r="M39" s="29">
        <f>'Financial Statements'!N55-'Financial Statements'!M55</f>
        <v>-1008386.7923585828</v>
      </c>
      <c r="N39" s="29">
        <f>'Financial Statements'!O55-'Financial Statements'!N55</f>
        <v>-1058689.5403724033</v>
      </c>
      <c r="O39" s="29">
        <f>'Financial Statements'!P55-'Financial Statements'!O55</f>
        <v>-1109505.7247789893</v>
      </c>
      <c r="P39" s="29">
        <f>'Financial Statements'!Q55-'Financial Statements'!P55</f>
        <v>-1160676.7013099454</v>
      </c>
      <c r="Q39" s="29">
        <f>'Financial Statements'!R55-'Financial Statements'!Q55</f>
        <v>-1195497.0023492388</v>
      </c>
    </row>
    <row r="40" spans="1:17">
      <c r="A40" s="7" t="s">
        <v>11</v>
      </c>
      <c r="B40" s="33">
        <f>'Financial Statements'!C65</f>
        <v>0</v>
      </c>
      <c r="C40" s="33">
        <f>'Financial Statements'!D65</f>
        <v>0</v>
      </c>
      <c r="D40" s="33">
        <f>'Financial Statements'!E65</f>
        <v>-46385</v>
      </c>
      <c r="E40" s="33">
        <f>'Financial Statements'!F65</f>
        <v>10000</v>
      </c>
      <c r="F40" s="29">
        <f>'Financial Statements'!G65</f>
        <v>0</v>
      </c>
      <c r="G40" s="29">
        <f>'Financial Statements'!H65</f>
        <v>0</v>
      </c>
      <c r="H40" s="29">
        <f>'Financial Statements'!I65</f>
        <v>0</v>
      </c>
      <c r="I40" s="29">
        <f>'Financial Statements'!J65</f>
        <v>0</v>
      </c>
      <c r="J40" s="29">
        <f>'Financial Statements'!K65</f>
        <v>0</v>
      </c>
      <c r="K40" s="29">
        <f>'Financial Statements'!L65</f>
        <v>0</v>
      </c>
      <c r="L40" s="29">
        <f>'Financial Statements'!M65</f>
        <v>0</v>
      </c>
      <c r="M40" s="29">
        <f>'Financial Statements'!N65</f>
        <v>0</v>
      </c>
      <c r="N40" s="29">
        <f>'Financial Statements'!O65</f>
        <v>0</v>
      </c>
      <c r="O40" s="29">
        <f>'Financial Statements'!P65</f>
        <v>0</v>
      </c>
      <c r="P40" s="29">
        <f>'Financial Statements'!Q65</f>
        <v>0</v>
      </c>
      <c r="Q40" s="29">
        <f>'Financial Statements'!R65</f>
        <v>0</v>
      </c>
    </row>
    <row r="41" spans="1:17">
      <c r="A41" t="s">
        <v>10</v>
      </c>
      <c r="B41" s="33">
        <f>SUM(B34:B40)</f>
        <v>-1557770.9999999991</v>
      </c>
      <c r="C41" s="33">
        <f>SUM(C34:C40)</f>
        <v>420034.99999999907</v>
      </c>
      <c r="D41" s="33">
        <f>SUM(D34:D40)</f>
        <v>-242178.99999999983</v>
      </c>
      <c r="E41" s="33">
        <f>SUM(E34:E40)</f>
        <v>121000</v>
      </c>
      <c r="F41" s="29">
        <f t="shared" ref="F41:Q41" si="3">SUM(F34:F40)</f>
        <v>-585632.25630295742</v>
      </c>
      <c r="G41" s="29">
        <f t="shared" si="3"/>
        <v>-627883.387351532</v>
      </c>
      <c r="H41" s="29">
        <f t="shared" si="3"/>
        <v>-671737.0415628762</v>
      </c>
      <c r="I41" s="29">
        <f t="shared" si="3"/>
        <v>-717127.39332371904</v>
      </c>
      <c r="J41" s="29">
        <f t="shared" si="3"/>
        <v>-763975.91060421942</v>
      </c>
      <c r="K41" s="29">
        <f t="shared" si="3"/>
        <v>-812191.17940566409</v>
      </c>
      <c r="L41" s="29">
        <f t="shared" si="3"/>
        <v>-861668.83581689512</v>
      </c>
      <c r="M41" s="29">
        <f t="shared" si="3"/>
        <v>-912291.61255239835</v>
      </c>
      <c r="N41" s="29">
        <f t="shared" si="3"/>
        <v>-963929.50579041708</v>
      </c>
      <c r="O41" s="29">
        <f t="shared" si="3"/>
        <v>-1016440.0669330806</v>
      </c>
      <c r="P41" s="29">
        <f t="shared" si="3"/>
        <v>-1069668.8225845974</v>
      </c>
      <c r="Q41" s="29">
        <f t="shared" si="3"/>
        <v>-1101758.8872621302</v>
      </c>
    </row>
    <row r="43" spans="1:17">
      <c r="A43" t="s">
        <v>109</v>
      </c>
      <c r="B43" s="33">
        <f t="shared" ref="B43:Q43" si="4">B24+B31+B41</f>
        <v>333484.00000000047</v>
      </c>
      <c r="C43" s="33">
        <f t="shared" si="4"/>
        <v>43270.999999999767</v>
      </c>
      <c r="D43" s="33">
        <f t="shared" si="4"/>
        <v>12328.999999999243</v>
      </c>
      <c r="E43" s="33">
        <f>E24+E31+E41</f>
        <v>1591000</v>
      </c>
      <c r="F43" s="29">
        <f>F24+F31+F41</f>
        <v>105399.10854841769</v>
      </c>
      <c r="G43" s="29">
        <f t="shared" si="4"/>
        <v>106386.66183638526</v>
      </c>
      <c r="H43" s="29">
        <f t="shared" si="4"/>
        <v>107069.20707261725</v>
      </c>
      <c r="I43" s="29">
        <f t="shared" si="4"/>
        <v>107429.18646965781</v>
      </c>
      <c r="J43" s="29">
        <f t="shared" si="4"/>
        <v>107450.35393152409</v>
      </c>
      <c r="K43" s="29">
        <f t="shared" si="4"/>
        <v>107117.9700094054</v>
      </c>
      <c r="L43" s="29">
        <f t="shared" si="4"/>
        <v>106418.99101215764</v>
      </c>
      <c r="M43" s="29">
        <f t="shared" si="4"/>
        <v>105342.24981654738</v>
      </c>
      <c r="N43" s="29">
        <f t="shared" si="4"/>
        <v>103878.62591749383</v>
      </c>
      <c r="O43" s="29">
        <f t="shared" si="4"/>
        <v>102021.2022904621</v>
      </c>
      <c r="P43" s="29">
        <f t="shared" si="4"/>
        <v>99765.406707137823</v>
      </c>
      <c r="Q43" s="29">
        <f t="shared" si="4"/>
        <v>102758.36890835688</v>
      </c>
    </row>
    <row r="44" spans="1:17">
      <c r="A44" t="s">
        <v>121</v>
      </c>
      <c r="B44" s="33">
        <f>'Financial Statements'!B33</f>
        <v>286916</v>
      </c>
      <c r="C44" s="33">
        <f>'Financial Statements'!C33</f>
        <v>620400</v>
      </c>
      <c r="D44" s="33">
        <f>'Financial Statements'!D33</f>
        <v>663671</v>
      </c>
      <c r="E44" s="33">
        <f>'Financial Statements'!E33</f>
        <v>676000</v>
      </c>
      <c r="F44" s="29">
        <f>'Financial Statements'!F33</f>
        <v>2267000</v>
      </c>
      <c r="G44" s="29">
        <f>'Financial Statements'!G33</f>
        <v>2372399.1085484168</v>
      </c>
      <c r="H44" s="29">
        <f>'Financial Statements'!H33</f>
        <v>2478785.7703848053</v>
      </c>
      <c r="I44" s="29">
        <f>'Financial Statements'!I33</f>
        <v>2585854.9774574218</v>
      </c>
      <c r="J44" s="29">
        <f>'Financial Statements'!J33</f>
        <v>2693284.1639270792</v>
      </c>
      <c r="K44" s="29">
        <f>'Financial Statements'!K33</f>
        <v>2800734.5178586021</v>
      </c>
      <c r="L44" s="29">
        <f>'Financial Statements'!L33</f>
        <v>2907852.4878680063</v>
      </c>
      <c r="M44" s="29">
        <f>'Financial Statements'!M33</f>
        <v>3014271.4788801698</v>
      </c>
      <c r="N44" s="29">
        <f>'Financial Statements'!N33</f>
        <v>3119613.7286967174</v>
      </c>
      <c r="O44" s="29">
        <f>'Financial Statements'!O33</f>
        <v>3223492.3546142029</v>
      </c>
      <c r="P44" s="29">
        <f>'Financial Statements'!P33</f>
        <v>3325513.5569046652</v>
      </c>
      <c r="Q44" s="29">
        <f>'Financial Statements'!Q33</f>
        <v>3425278.9636118049</v>
      </c>
    </row>
    <row r="45" spans="1:17">
      <c r="A45" t="s">
        <v>102</v>
      </c>
      <c r="B45" s="33">
        <f>B43+B44</f>
        <v>620400.00000000047</v>
      </c>
      <c r="C45" s="33">
        <f t="shared" ref="C45:Q45" si="5">C43+C44</f>
        <v>663670.99999999977</v>
      </c>
      <c r="D45" s="33">
        <f t="shared" si="5"/>
        <v>675999.9999999993</v>
      </c>
      <c r="E45" s="33">
        <f t="shared" si="5"/>
        <v>2267000</v>
      </c>
      <c r="F45" s="29">
        <f t="shared" si="5"/>
        <v>2372399.1085484177</v>
      </c>
      <c r="G45" s="29">
        <f t="shared" si="5"/>
        <v>2478785.770384802</v>
      </c>
      <c r="H45" s="29">
        <f t="shared" si="5"/>
        <v>2585854.9774574228</v>
      </c>
      <c r="I45" s="29">
        <f t="shared" si="5"/>
        <v>2693284.1639270796</v>
      </c>
      <c r="J45" s="29">
        <f t="shared" si="5"/>
        <v>2800734.517858603</v>
      </c>
      <c r="K45" s="29">
        <f t="shared" si="5"/>
        <v>2907852.4878680073</v>
      </c>
      <c r="L45" s="29">
        <f t="shared" si="5"/>
        <v>3014271.4788801642</v>
      </c>
      <c r="M45" s="29">
        <f t="shared" si="5"/>
        <v>3119613.7286967169</v>
      </c>
      <c r="N45" s="29">
        <f t="shared" si="5"/>
        <v>3223492.3546142112</v>
      </c>
      <c r="O45" s="29">
        <f t="shared" si="5"/>
        <v>3325513.5569046652</v>
      </c>
      <c r="P45" s="29">
        <f t="shared" si="5"/>
        <v>3425278.963611803</v>
      </c>
      <c r="Q45" s="29">
        <f t="shared" si="5"/>
        <v>3528037.3325201618</v>
      </c>
    </row>
    <row r="48" spans="1:17">
      <c r="A48" s="287" t="s">
        <v>418</v>
      </c>
      <c r="B48" s="288"/>
      <c r="C48" s="120"/>
    </row>
    <row r="49" spans="1:17">
      <c r="A49" s="76"/>
      <c r="B49" s="213"/>
      <c r="C49" s="120"/>
    </row>
    <row r="50" spans="1:17">
      <c r="A50" s="76" t="s">
        <v>514</v>
      </c>
      <c r="B50" s="216">
        <f>'Financial Statements'!C29</f>
        <v>1108681</v>
      </c>
      <c r="C50" s="216">
        <f>'Financial Statements'!D29</f>
        <v>1083851</v>
      </c>
      <c r="D50" s="216">
        <f>'Financial Statements'!E29</f>
        <v>885000</v>
      </c>
      <c r="E50" s="216">
        <f>'Financial Statements'!F29</f>
        <v>991000</v>
      </c>
      <c r="F50" s="217">
        <f>'Financial Statements'!G29</f>
        <v>1046887.0229147106</v>
      </c>
      <c r="G50" s="217">
        <f>'Financial Statements'!H29</f>
        <v>1093459.9520091428</v>
      </c>
      <c r="H50" s="217">
        <f>'Financial Statements'!I29</f>
        <v>1140300.6072300265</v>
      </c>
      <c r="I50" s="217">
        <f>'Financial Statements'!J29</f>
        <v>1187266.3253773018</v>
      </c>
      <c r="J50" s="217">
        <f>'Financial Statements'!K29</f>
        <v>1234207.4771479508</v>
      </c>
      <c r="K50" s="217">
        <f>'Financial Statements'!L29</f>
        <v>1280968.1447622164</v>
      </c>
      <c r="L50" s="217">
        <f>'Financial Statements'!M29</f>
        <v>1327386.8816182446</v>
      </c>
      <c r="M50" s="217">
        <f>'Financial Statements'!N29</f>
        <v>1373297.5501042148</v>
      </c>
      <c r="N50" s="217">
        <f>'Financial Statements'!O29</f>
        <v>1418530.2326220849</v>
      </c>
      <c r="O50" s="217">
        <f>'Financial Statements'!P29</f>
        <v>1462912.2098195716</v>
      </c>
      <c r="P50" s="217">
        <f>'Financial Statements'!Q29</f>
        <v>1506268.9990034457</v>
      </c>
      <c r="Q50" s="217">
        <f>'Financial Statements'!R29</f>
        <v>1551457.0689735492</v>
      </c>
    </row>
    <row r="51" spans="1:17">
      <c r="A51" s="25" t="s">
        <v>208</v>
      </c>
      <c r="B51" s="33">
        <f>-('Financial Statements'!C57-'Financial Statements'!B57)</f>
        <v>353942.99999999907</v>
      </c>
      <c r="C51" s="33">
        <f>-('Financial Statements'!D57-'Financial Statements'!C57)</f>
        <v>-498207.99999999907</v>
      </c>
      <c r="D51" s="33">
        <f>-('Financial Statements'!E57-'Financial Statements'!D57)</f>
        <v>-637397</v>
      </c>
      <c r="E51" s="33">
        <f>-('Financial Statements'!F57-'Financial Statements'!E57)</f>
        <v>-1114000</v>
      </c>
      <c r="F51" s="29">
        <f>-('Financial Statements'!G57-'Financial Statements'!F57)</f>
        <v>-365107.71920190565</v>
      </c>
      <c r="G51" s="29">
        <f>-('Financial Statements'!H57-'Financial Statements'!G57)</f>
        <v>-368528.65258101188</v>
      </c>
      <c r="H51" s="29">
        <f>-('Financial Statements'!I57-'Financial Statements'!H57)</f>
        <v>-370893.02300011367</v>
      </c>
      <c r="I51" s="29">
        <f>-('Financial Statements'!J57-'Financial Statements'!I57)</f>
        <v>-372140.00941606611</v>
      </c>
      <c r="J51" s="29">
        <f>-('Financial Statements'!K57-'Financial Statements'!J57)</f>
        <v>-372213.33454973623</v>
      </c>
      <c r="K51" s="29">
        <f>-('Financial Statements'!L57-'Financial Statements'!K57)</f>
        <v>-371061.94022225589</v>
      </c>
      <c r="L51" s="29">
        <f>-('Financial Statements'!M57-'Financial Statements'!L57)</f>
        <v>-368640.64244309999</v>
      </c>
      <c r="M51" s="29">
        <f>-('Financial Statements'!N57-'Financial Statements'!M57)</f>
        <v>-364910.7577456329</v>
      </c>
      <c r="N51" s="29">
        <f>-('Financial Statements'!O57-'Financial Statements'!N57)</f>
        <v>-359840.69224967994</v>
      </c>
      <c r="O51" s="29">
        <f>-('Financial Statements'!P57-'Financial Statements'!O57)</f>
        <v>-353406.48504058085</v>
      </c>
      <c r="P51" s="29">
        <f>-('Financial Statements'!Q57-'Financial Statements'!P57)</f>
        <v>-345592.29769349843</v>
      </c>
      <c r="Q51" s="29">
        <f>-('Financial Statements'!R57-'Financial Statements'!Q57)</f>
        <v>-355960.06662430987</v>
      </c>
    </row>
    <row r="52" spans="1:17">
      <c r="A52" s="7" t="s">
        <v>11</v>
      </c>
      <c r="B52" s="33">
        <f>'Financial Statements'!C65</f>
        <v>0</v>
      </c>
      <c r="C52" s="33">
        <f>'Financial Statements'!D65</f>
        <v>0</v>
      </c>
      <c r="D52" s="33">
        <f>'Financial Statements'!E65</f>
        <v>-46385</v>
      </c>
      <c r="E52" s="33">
        <f>'Financial Statements'!F65</f>
        <v>10000</v>
      </c>
      <c r="F52" s="29">
        <f>'Financial Statements'!G65</f>
        <v>0</v>
      </c>
      <c r="G52" s="29">
        <f>'Financial Statements'!H65</f>
        <v>0</v>
      </c>
      <c r="H52" s="29">
        <f>'Financial Statements'!I65</f>
        <v>0</v>
      </c>
      <c r="I52" s="29">
        <f>'Financial Statements'!J65</f>
        <v>0</v>
      </c>
      <c r="J52" s="29">
        <f>'Financial Statements'!K65</f>
        <v>0</v>
      </c>
      <c r="K52" s="29">
        <f>'Financial Statements'!L65</f>
        <v>0</v>
      </c>
      <c r="L52" s="29">
        <f>'Financial Statements'!M65</f>
        <v>0</v>
      </c>
      <c r="M52" s="29">
        <f>'Financial Statements'!N65</f>
        <v>0</v>
      </c>
      <c r="N52" s="29">
        <f>'Financial Statements'!O65</f>
        <v>0</v>
      </c>
      <c r="O52" s="29">
        <f>'Financial Statements'!P65</f>
        <v>0</v>
      </c>
      <c r="P52" s="29">
        <f>'Financial Statements'!Q65</f>
        <v>0</v>
      </c>
      <c r="Q52" s="29">
        <f>'Financial Statements'!R65</f>
        <v>0</v>
      </c>
    </row>
    <row r="53" spans="1:17" ht="14" thickBot="1">
      <c r="A53" s="25" t="s">
        <v>110</v>
      </c>
      <c r="B53" s="34">
        <f t="shared" ref="B53:Q53" si="6">SUM(B50:B52)</f>
        <v>1462623.9999999991</v>
      </c>
      <c r="C53" s="34">
        <f t="shared" si="6"/>
        <v>585643.00000000093</v>
      </c>
      <c r="D53" s="34">
        <f t="shared" si="6"/>
        <v>201218</v>
      </c>
      <c r="E53" s="34">
        <f t="shared" si="6"/>
        <v>-113000</v>
      </c>
      <c r="F53" s="30">
        <f t="shared" si="6"/>
        <v>681779.30371280492</v>
      </c>
      <c r="G53" s="30">
        <f t="shared" si="6"/>
        <v>724931.29942813097</v>
      </c>
      <c r="H53" s="30">
        <f t="shared" si="6"/>
        <v>769407.58422991284</v>
      </c>
      <c r="I53" s="30">
        <f t="shared" si="6"/>
        <v>815126.31596123567</v>
      </c>
      <c r="J53" s="30">
        <f t="shared" si="6"/>
        <v>861994.14259821456</v>
      </c>
      <c r="K53" s="30">
        <f t="shared" si="6"/>
        <v>909906.20453996048</v>
      </c>
      <c r="L53" s="30">
        <f t="shared" si="6"/>
        <v>958746.23917514458</v>
      </c>
      <c r="M53" s="30">
        <f t="shared" si="6"/>
        <v>1008386.7923585819</v>
      </c>
      <c r="N53" s="30">
        <f t="shared" si="6"/>
        <v>1058689.540372405</v>
      </c>
      <c r="O53" s="30">
        <f t="shared" si="6"/>
        <v>1109505.7247789907</v>
      </c>
      <c r="P53" s="30">
        <f t="shared" si="6"/>
        <v>1160676.7013099473</v>
      </c>
      <c r="Q53" s="30">
        <f t="shared" si="6"/>
        <v>1195497.0023492393</v>
      </c>
    </row>
    <row r="54" spans="1:17" ht="14" thickTop="1">
      <c r="A54" s="25"/>
      <c r="B54" s="1"/>
      <c r="C54" s="1"/>
    </row>
    <row r="55" spans="1:17">
      <c r="A55" s="25" t="s">
        <v>452</v>
      </c>
      <c r="B55" s="25"/>
      <c r="C55" s="25"/>
    </row>
    <row r="56" spans="1:17">
      <c r="A56" t="s">
        <v>144</v>
      </c>
      <c r="B56" s="33">
        <f>B24</f>
        <v>3032079.9999999995</v>
      </c>
      <c r="C56" s="33">
        <f>C24</f>
        <v>1271437.0000000005</v>
      </c>
      <c r="D56" s="33">
        <f>D24</f>
        <v>1593314.9999999995</v>
      </c>
      <c r="E56" s="33">
        <f>E24</f>
        <v>2101000</v>
      </c>
      <c r="F56" s="29">
        <f t="shared" ref="F56:Q56" si="7">F24</f>
        <v>1652751.3262052557</v>
      </c>
      <c r="G56" s="29">
        <f t="shared" si="7"/>
        <v>1726946.1735717212</v>
      </c>
      <c r="H56" s="29">
        <f t="shared" si="7"/>
        <v>1801623.6702315435</v>
      </c>
      <c r="I56" s="29">
        <f t="shared" si="7"/>
        <v>1876559.1668376932</v>
      </c>
      <c r="J56" s="29">
        <f t="shared" si="7"/>
        <v>1951516.6527179244</v>
      </c>
      <c r="K56" s="29">
        <f t="shared" si="7"/>
        <v>2026249.8027638181</v>
      </c>
      <c r="L56" s="29">
        <f t="shared" si="7"/>
        <v>2100503.1563688926</v>
      </c>
      <c r="M56" s="29">
        <f t="shared" si="7"/>
        <v>2174013.4226778387</v>
      </c>
      <c r="N56" s="29">
        <f t="shared" si="7"/>
        <v>2246510.9046931216</v>
      </c>
      <c r="O56" s="29">
        <f t="shared" si="7"/>
        <v>2317721.0330907386</v>
      </c>
      <c r="P56" s="29">
        <f t="shared" si="7"/>
        <v>2387365.9989499333</v>
      </c>
      <c r="Q56" s="29">
        <f t="shared" si="7"/>
        <v>2458986.9789184309</v>
      </c>
    </row>
    <row r="57" spans="1:17">
      <c r="A57" t="s">
        <v>504</v>
      </c>
      <c r="B57" s="33">
        <f>-B43</f>
        <v>-333484.00000000047</v>
      </c>
      <c r="C57" s="33">
        <f>-C43</f>
        <v>-43270.999999999767</v>
      </c>
      <c r="D57" s="33">
        <f>-D43</f>
        <v>-12328.999999999243</v>
      </c>
      <c r="E57" s="33">
        <f>-E43</f>
        <v>-1591000</v>
      </c>
      <c r="F57" s="29">
        <f t="shared" ref="F57:Q57" si="8">-F43</f>
        <v>-105399.10854841769</v>
      </c>
      <c r="G57" s="29">
        <f t="shared" si="8"/>
        <v>-106386.66183638526</v>
      </c>
      <c r="H57" s="29">
        <f t="shared" si="8"/>
        <v>-107069.20707261725</v>
      </c>
      <c r="I57" s="29">
        <f t="shared" si="8"/>
        <v>-107429.18646965781</v>
      </c>
      <c r="J57" s="29">
        <f t="shared" si="8"/>
        <v>-107450.35393152409</v>
      </c>
      <c r="K57" s="29">
        <f t="shared" si="8"/>
        <v>-107117.9700094054</v>
      </c>
      <c r="L57" s="29">
        <f t="shared" si="8"/>
        <v>-106418.99101215764</v>
      </c>
      <c r="M57" s="29">
        <f t="shared" si="8"/>
        <v>-105342.24981654738</v>
      </c>
      <c r="N57" s="29">
        <f t="shared" si="8"/>
        <v>-103878.62591749383</v>
      </c>
      <c r="O57" s="29">
        <f t="shared" si="8"/>
        <v>-102021.2022904621</v>
      </c>
      <c r="P57" s="29">
        <f t="shared" si="8"/>
        <v>-99765.406707137823</v>
      </c>
      <c r="Q57" s="29">
        <f t="shared" si="8"/>
        <v>-102758.36890835688</v>
      </c>
    </row>
    <row r="58" spans="1:17">
      <c r="A58" t="s">
        <v>12</v>
      </c>
      <c r="B58" s="33">
        <f>B31</f>
        <v>-1140825</v>
      </c>
      <c r="C58" s="33">
        <f>C31</f>
        <v>-1648200.9999999998</v>
      </c>
      <c r="D58" s="33">
        <f>D31</f>
        <v>-1338807.0000000005</v>
      </c>
      <c r="E58" s="33">
        <f>E31</f>
        <v>-631000</v>
      </c>
      <c r="F58" s="29">
        <f t="shared" ref="F58:Q58" si="9">F31</f>
        <v>-961719.96135388059</v>
      </c>
      <c r="G58" s="29">
        <f t="shared" si="9"/>
        <v>-992676.12438380392</v>
      </c>
      <c r="H58" s="29">
        <f t="shared" si="9"/>
        <v>-1022817.42159605</v>
      </c>
      <c r="I58" s="29">
        <f t="shared" si="9"/>
        <v>-1052002.5870443163</v>
      </c>
      <c r="J58" s="29">
        <f t="shared" si="9"/>
        <v>-1080090.3881821809</v>
      </c>
      <c r="K58" s="29">
        <f t="shared" si="9"/>
        <v>-1106940.6533487486</v>
      </c>
      <c r="L58" s="29">
        <f t="shared" si="9"/>
        <v>-1132415.3295398399</v>
      </c>
      <c r="M58" s="29">
        <f t="shared" si="9"/>
        <v>-1156379.560308893</v>
      </c>
      <c r="N58" s="29">
        <f t="shared" si="9"/>
        <v>-1178702.7729852106</v>
      </c>
      <c r="O58" s="29">
        <f t="shared" si="9"/>
        <v>-1199259.7638671959</v>
      </c>
      <c r="P58" s="29">
        <f t="shared" si="9"/>
        <v>-1217931.7696581981</v>
      </c>
      <c r="Q58" s="29">
        <f t="shared" si="9"/>
        <v>-1254469.7227479438</v>
      </c>
    </row>
    <row r="59" spans="1:17">
      <c r="A59" t="s">
        <v>107</v>
      </c>
      <c r="B59" s="33">
        <f t="shared" ref="B59:E60" si="10">B34</f>
        <v>-95147</v>
      </c>
      <c r="C59" s="33">
        <f t="shared" si="10"/>
        <v>1005678</v>
      </c>
      <c r="D59" s="33">
        <f t="shared" si="10"/>
        <v>5424</v>
      </c>
      <c r="E59" s="33">
        <f t="shared" si="10"/>
        <v>-2000</v>
      </c>
      <c r="F59" s="29">
        <f t="shared" ref="F59:Q59" si="11">F34</f>
        <v>96147.04740984831</v>
      </c>
      <c r="G59" s="29">
        <f t="shared" si="11"/>
        <v>97047.91207659943</v>
      </c>
      <c r="H59" s="29">
        <f t="shared" si="11"/>
        <v>97670.54266703641</v>
      </c>
      <c r="I59" s="29">
        <f t="shared" si="11"/>
        <v>97998.922637517098</v>
      </c>
      <c r="J59" s="29">
        <f t="shared" si="11"/>
        <v>98018.231993996073</v>
      </c>
      <c r="K59" s="29">
        <f t="shared" si="11"/>
        <v>97715.025134296156</v>
      </c>
      <c r="L59" s="29">
        <f t="shared" si="11"/>
        <v>97077.403358249459</v>
      </c>
      <c r="M59" s="29">
        <f t="shared" si="11"/>
        <v>96095.179806184489</v>
      </c>
      <c r="N59" s="29">
        <f t="shared" si="11"/>
        <v>94760.034581986256</v>
      </c>
      <c r="O59" s="29">
        <f t="shared" si="11"/>
        <v>93065.657845908776</v>
      </c>
      <c r="P59" s="29">
        <f t="shared" si="11"/>
        <v>91007.87872534804</v>
      </c>
      <c r="Q59" s="29">
        <f t="shared" si="11"/>
        <v>93738.115087108687</v>
      </c>
    </row>
    <row r="60" spans="1:17">
      <c r="A60" t="s">
        <v>433</v>
      </c>
      <c r="B60" s="33">
        <f t="shared" si="10"/>
        <v>0</v>
      </c>
      <c r="C60" s="33">
        <f t="shared" si="10"/>
        <v>0</v>
      </c>
      <c r="D60" s="33">
        <f t="shared" si="10"/>
        <v>0</v>
      </c>
      <c r="E60" s="33">
        <f t="shared" si="10"/>
        <v>0</v>
      </c>
      <c r="F60" s="29">
        <f t="shared" ref="F60:Q60" si="12">F35</f>
        <v>0</v>
      </c>
      <c r="G60" s="29">
        <f t="shared" si="12"/>
        <v>0</v>
      </c>
      <c r="H60" s="29">
        <f t="shared" si="12"/>
        <v>0</v>
      </c>
      <c r="I60" s="29">
        <f t="shared" si="12"/>
        <v>0</v>
      </c>
      <c r="J60" s="29">
        <f t="shared" si="12"/>
        <v>0</v>
      </c>
      <c r="K60" s="29">
        <f t="shared" si="12"/>
        <v>0</v>
      </c>
      <c r="L60" s="29">
        <f t="shared" si="12"/>
        <v>0</v>
      </c>
      <c r="M60" s="29">
        <f t="shared" si="12"/>
        <v>0</v>
      </c>
      <c r="N60" s="29">
        <f t="shared" si="12"/>
        <v>0</v>
      </c>
      <c r="O60" s="29">
        <f t="shared" si="12"/>
        <v>0</v>
      </c>
      <c r="P60" s="29">
        <f t="shared" si="12"/>
        <v>0</v>
      </c>
      <c r="Q60" s="29">
        <f t="shared" si="12"/>
        <v>0</v>
      </c>
    </row>
    <row r="61" spans="1:17">
      <c r="A61" t="s">
        <v>244</v>
      </c>
      <c r="B61" s="33">
        <f>'Financial Statements'!C28</f>
        <v>0</v>
      </c>
      <c r="C61" s="33">
        <f>'Financial Statements'!D28</f>
        <v>0</v>
      </c>
      <c r="D61" s="33">
        <f>'Financial Statements'!E28</f>
        <v>0</v>
      </c>
      <c r="E61" s="33">
        <f>'Financial Statements'!F28</f>
        <v>0</v>
      </c>
      <c r="F61" s="29">
        <f>'Financial Statements'!G28</f>
        <v>0</v>
      </c>
      <c r="G61" s="29">
        <f>'Financial Statements'!H28</f>
        <v>0</v>
      </c>
      <c r="H61" s="29">
        <f>'Financial Statements'!I28</f>
        <v>0</v>
      </c>
      <c r="I61" s="29">
        <f>'Financial Statements'!J28</f>
        <v>0</v>
      </c>
      <c r="J61" s="29">
        <f>'Financial Statements'!K28</f>
        <v>0</v>
      </c>
      <c r="K61" s="29">
        <f>'Financial Statements'!L28</f>
        <v>0</v>
      </c>
      <c r="L61" s="29">
        <f>'Financial Statements'!M28</f>
        <v>0</v>
      </c>
      <c r="M61" s="29">
        <f>'Financial Statements'!N28</f>
        <v>0</v>
      </c>
      <c r="N61" s="29">
        <f>'Financial Statements'!O28</f>
        <v>0</v>
      </c>
      <c r="O61" s="29">
        <f>'Financial Statements'!P28</f>
        <v>0</v>
      </c>
      <c r="P61" s="29">
        <f>'Financial Statements'!Q28</f>
        <v>0</v>
      </c>
      <c r="Q61" s="29">
        <f>'Financial Statements'!R28</f>
        <v>0</v>
      </c>
    </row>
    <row r="62" spans="1:17">
      <c r="A62" t="s">
        <v>13</v>
      </c>
      <c r="B62" s="33">
        <f>B37</f>
        <v>0</v>
      </c>
      <c r="C62" s="33">
        <f>C37</f>
        <v>0</v>
      </c>
      <c r="D62" s="33">
        <f>D37</f>
        <v>0</v>
      </c>
      <c r="E62" s="33">
        <f>E37</f>
        <v>0</v>
      </c>
      <c r="F62" s="29">
        <f t="shared" ref="F62:Q62" si="13">F37</f>
        <v>0</v>
      </c>
      <c r="G62" s="29">
        <f t="shared" si="13"/>
        <v>0</v>
      </c>
      <c r="H62" s="29">
        <f t="shared" si="13"/>
        <v>0</v>
      </c>
      <c r="I62" s="29">
        <f t="shared" si="13"/>
        <v>0</v>
      </c>
      <c r="J62" s="29">
        <f t="shared" si="13"/>
        <v>0</v>
      </c>
      <c r="K62" s="29">
        <f t="shared" si="13"/>
        <v>0</v>
      </c>
      <c r="L62" s="29">
        <f t="shared" si="13"/>
        <v>0</v>
      </c>
      <c r="M62" s="29">
        <f t="shared" si="13"/>
        <v>0</v>
      </c>
      <c r="N62" s="29">
        <f t="shared" si="13"/>
        <v>0</v>
      </c>
      <c r="O62" s="29">
        <f t="shared" si="13"/>
        <v>0</v>
      </c>
      <c r="P62" s="29">
        <f t="shared" si="13"/>
        <v>0</v>
      </c>
      <c r="Q62" s="29">
        <f t="shared" si="13"/>
        <v>0</v>
      </c>
    </row>
    <row r="63" spans="1:17">
      <c r="A63" s="7" t="s">
        <v>11</v>
      </c>
      <c r="B63" s="33">
        <f>'Financial Statements'!C65</f>
        <v>0</v>
      </c>
      <c r="C63" s="33">
        <f>'Financial Statements'!D65</f>
        <v>0</v>
      </c>
      <c r="D63" s="33">
        <f>'Financial Statements'!E65</f>
        <v>-46385</v>
      </c>
      <c r="E63" s="33">
        <f>'Financial Statements'!F65</f>
        <v>10000</v>
      </c>
      <c r="F63" s="29">
        <f>'Financial Statements'!G65</f>
        <v>0</v>
      </c>
      <c r="G63" s="29">
        <f>'Financial Statements'!H65</f>
        <v>0</v>
      </c>
      <c r="H63" s="29">
        <f>'Financial Statements'!I65</f>
        <v>0</v>
      </c>
      <c r="I63" s="29">
        <f>'Financial Statements'!J65</f>
        <v>0</v>
      </c>
      <c r="J63" s="29">
        <f>'Financial Statements'!K65</f>
        <v>0</v>
      </c>
      <c r="K63" s="29">
        <f>'Financial Statements'!L65</f>
        <v>0</v>
      </c>
      <c r="L63" s="29">
        <f>'Financial Statements'!M65</f>
        <v>0</v>
      </c>
      <c r="M63" s="29">
        <f>'Financial Statements'!N65</f>
        <v>0</v>
      </c>
      <c r="N63" s="29">
        <f>'Financial Statements'!O65</f>
        <v>0</v>
      </c>
      <c r="O63" s="29">
        <f>'Financial Statements'!P65</f>
        <v>0</v>
      </c>
      <c r="P63" s="29">
        <f>'Financial Statements'!Q65</f>
        <v>0</v>
      </c>
      <c r="Q63" s="29">
        <f>'Financial Statements'!R65</f>
        <v>0</v>
      </c>
    </row>
    <row r="64" spans="1:17" ht="14" thickBot="1">
      <c r="A64" t="s">
        <v>110</v>
      </c>
      <c r="B64" s="34">
        <f>SUM(B56:B63)</f>
        <v>1462623.9999999991</v>
      </c>
      <c r="C64" s="34">
        <f>SUM(C56:C63)</f>
        <v>585643.00000000093</v>
      </c>
      <c r="D64" s="34">
        <f>SUM(D56:D63)</f>
        <v>201217.99999999977</v>
      </c>
      <c r="E64" s="34">
        <f>SUM(E56:E63)</f>
        <v>-113000</v>
      </c>
      <c r="F64" s="30">
        <f t="shared" ref="F64:Q64" si="14">SUM(F56:F63)</f>
        <v>681779.30371280573</v>
      </c>
      <c r="G64" s="30">
        <f t="shared" si="14"/>
        <v>724931.29942813143</v>
      </c>
      <c r="H64" s="30">
        <f t="shared" si="14"/>
        <v>769407.58422991261</v>
      </c>
      <c r="I64" s="30">
        <f t="shared" si="14"/>
        <v>815126.31596123613</v>
      </c>
      <c r="J64" s="30">
        <f t="shared" si="14"/>
        <v>861994.14259821549</v>
      </c>
      <c r="K64" s="30">
        <f t="shared" si="14"/>
        <v>909906.20453996025</v>
      </c>
      <c r="L64" s="30">
        <f t="shared" si="14"/>
        <v>958746.23917514458</v>
      </c>
      <c r="M64" s="30">
        <f t="shared" si="14"/>
        <v>1008386.7923585828</v>
      </c>
      <c r="N64" s="30">
        <f t="shared" si="14"/>
        <v>1058689.5403724033</v>
      </c>
      <c r="O64" s="30">
        <f t="shared" si="14"/>
        <v>1109505.7247789891</v>
      </c>
      <c r="P64" s="30">
        <f t="shared" si="14"/>
        <v>1160676.7013099454</v>
      </c>
      <c r="Q64" s="30">
        <f t="shared" si="14"/>
        <v>1195497.0023492388</v>
      </c>
    </row>
    <row r="65" spans="1:17" ht="14" thickTop="1">
      <c r="E65" s="33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>
      <c r="A66" t="s">
        <v>406</v>
      </c>
      <c r="E66" s="33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>
      <c r="A67" t="s">
        <v>146</v>
      </c>
      <c r="B67" s="33">
        <f>-'Financial Statements'!C64</f>
        <v>0</v>
      </c>
      <c r="C67" s="33">
        <f>-'Financial Statements'!D64</f>
        <v>0</v>
      </c>
      <c r="D67" s="33">
        <f>-'Financial Statements'!E64</f>
        <v>0</v>
      </c>
      <c r="E67" s="33">
        <f>-'Financial Statements'!F64</f>
        <v>0</v>
      </c>
      <c r="F67" s="29">
        <f>-'Financial Statements'!G64</f>
        <v>0</v>
      </c>
      <c r="G67" s="29">
        <f>-'Financial Statements'!H64</f>
        <v>0</v>
      </c>
      <c r="H67" s="29">
        <f>-'Financial Statements'!I64</f>
        <v>0</v>
      </c>
      <c r="I67" s="29">
        <f>-'Financial Statements'!J64</f>
        <v>0</v>
      </c>
      <c r="J67" s="29">
        <f>-'Financial Statements'!K64</f>
        <v>0</v>
      </c>
      <c r="K67" s="29">
        <f>-'Financial Statements'!L64</f>
        <v>0</v>
      </c>
      <c r="L67" s="29">
        <f>-'Financial Statements'!M64</f>
        <v>0</v>
      </c>
      <c r="M67" s="29">
        <f>-'Financial Statements'!N64</f>
        <v>0</v>
      </c>
      <c r="N67" s="29">
        <f>-'Financial Statements'!O64</f>
        <v>0</v>
      </c>
      <c r="O67" s="29">
        <f>-'Financial Statements'!P64</f>
        <v>0</v>
      </c>
      <c r="P67" s="29">
        <f>-'Financial Statements'!Q64</f>
        <v>0</v>
      </c>
      <c r="Q67" s="29">
        <f>-'Financial Statements'!R64</f>
        <v>0</v>
      </c>
    </row>
    <row r="68" spans="1:17">
      <c r="A68" t="s">
        <v>145</v>
      </c>
      <c r="B68" s="33">
        <f>-('Financial Statements'!C55-'Financial Statements'!B55)</f>
        <v>1462623.9999999991</v>
      </c>
      <c r="C68" s="33">
        <f>-('Financial Statements'!D55-'Financial Statements'!C55)</f>
        <v>585643.00000000093</v>
      </c>
      <c r="D68" s="33">
        <f>-('Financial Statements'!E55-'Financial Statements'!D55)</f>
        <v>201217.99999999983</v>
      </c>
      <c r="E68" s="33">
        <f>-('Financial Statements'!F55-'Financial Statements'!E55)</f>
        <v>-113000</v>
      </c>
      <c r="F68" s="29">
        <f>-('Financial Statements'!G55-'Financial Statements'!F55)</f>
        <v>681779.30371280573</v>
      </c>
      <c r="G68" s="29">
        <f>-('Financial Statements'!H55-'Financial Statements'!G55)</f>
        <v>724931.29942813143</v>
      </c>
      <c r="H68" s="29">
        <f>-('Financial Statements'!I55-'Financial Statements'!H55)</f>
        <v>769407.58422991261</v>
      </c>
      <c r="I68" s="29">
        <f>-('Financial Statements'!J55-'Financial Statements'!I55)</f>
        <v>815126.31596123613</v>
      </c>
      <c r="J68" s="29">
        <f>-('Financial Statements'!K55-'Financial Statements'!J55)</f>
        <v>861994.14259821549</v>
      </c>
      <c r="K68" s="29">
        <f>-('Financial Statements'!L55-'Financial Statements'!K55)</f>
        <v>909906.20453996025</v>
      </c>
      <c r="L68" s="29">
        <f>-('Financial Statements'!M55-'Financial Statements'!L55)</f>
        <v>958746.23917514458</v>
      </c>
      <c r="M68" s="29">
        <f>-('Financial Statements'!N55-'Financial Statements'!M55)</f>
        <v>1008386.7923585828</v>
      </c>
      <c r="N68" s="29">
        <f>-('Financial Statements'!O55-'Financial Statements'!N55)</f>
        <v>1058689.5403724033</v>
      </c>
      <c r="O68" s="29">
        <f>-('Financial Statements'!P55-'Financial Statements'!O55)</f>
        <v>1109505.7247789893</v>
      </c>
      <c r="P68" s="29">
        <f>-('Financial Statements'!Q55-'Financial Statements'!P55)</f>
        <v>1160676.7013099454</v>
      </c>
      <c r="Q68" s="29">
        <f>-('Financial Statements'!R55-'Financial Statements'!Q55)</f>
        <v>1195497.0023492388</v>
      </c>
    </row>
    <row r="69" spans="1:17" ht="14" thickBot="1">
      <c r="A69" t="s">
        <v>401</v>
      </c>
      <c r="B69" s="34">
        <f>B67+B68</f>
        <v>1462623.9999999991</v>
      </c>
      <c r="C69" s="34">
        <f>C67+C68</f>
        <v>585643.00000000093</v>
      </c>
      <c r="D69" s="34">
        <f>D67+D68</f>
        <v>201217.99999999983</v>
      </c>
      <c r="E69" s="34">
        <f>E67+E68</f>
        <v>-113000</v>
      </c>
      <c r="F69" s="30">
        <f t="shared" ref="F69:Q69" si="15">F67+F68</f>
        <v>681779.30371280573</v>
      </c>
      <c r="G69" s="30">
        <f t="shared" si="15"/>
        <v>724931.29942813143</v>
      </c>
      <c r="H69" s="30">
        <f t="shared" si="15"/>
        <v>769407.58422991261</v>
      </c>
      <c r="I69" s="30">
        <f t="shared" si="15"/>
        <v>815126.31596123613</v>
      </c>
      <c r="J69" s="30">
        <f t="shared" si="15"/>
        <v>861994.14259821549</v>
      </c>
      <c r="K69" s="30">
        <f t="shared" si="15"/>
        <v>909906.20453996025</v>
      </c>
      <c r="L69" s="30">
        <f t="shared" si="15"/>
        <v>958746.23917514458</v>
      </c>
      <c r="M69" s="30">
        <f t="shared" si="15"/>
        <v>1008386.7923585828</v>
      </c>
      <c r="N69" s="30">
        <f t="shared" si="15"/>
        <v>1058689.5403724033</v>
      </c>
      <c r="O69" s="30">
        <f t="shared" si="15"/>
        <v>1109505.7247789893</v>
      </c>
      <c r="P69" s="30">
        <f t="shared" si="15"/>
        <v>1160676.7013099454</v>
      </c>
      <c r="Q69" s="30">
        <f t="shared" si="15"/>
        <v>1195497.0023492388</v>
      </c>
    </row>
    <row r="70" spans="1:17" ht="14" thickTop="1">
      <c r="B70" s="14"/>
      <c r="C70" s="14"/>
      <c r="D70" s="14"/>
      <c r="E70" s="14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>
      <c r="E71" s="14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>
      <c r="A72" s="287" t="s">
        <v>419</v>
      </c>
      <c r="B72" s="288"/>
      <c r="C72" s="1"/>
      <c r="E72" s="33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4" spans="1:17">
      <c r="A74" t="s">
        <v>60</v>
      </c>
      <c r="B74" s="214">
        <f>'Financial Statements'!C71</f>
        <v>1155183.3152518112</v>
      </c>
      <c r="C74" s="214">
        <f>'Financial Statements'!D71</f>
        <v>1145266.2431585346</v>
      </c>
      <c r="D74" s="214">
        <f>'Financial Statements'!E71</f>
        <v>971947.36842105258</v>
      </c>
      <c r="E74" s="214">
        <f>'Financial Statements'!F71</f>
        <v>1074623.4256926952</v>
      </c>
      <c r="F74" s="215">
        <f>'Financial Statements'!G71</f>
        <v>1132413.0340649369</v>
      </c>
      <c r="G74" s="215">
        <f>'Financial Statements'!H71</f>
        <v>1182890.1739710702</v>
      </c>
      <c r="H74" s="215">
        <f>'Financial Statements'!I71</f>
        <v>1233665.8277978627</v>
      </c>
      <c r="I74" s="215">
        <f>'Financial Statements'!J71</f>
        <v>1284585.7631979713</v>
      </c>
      <c r="J74" s="215">
        <f>'Financial Statements'!K71</f>
        <v>1335488.1585560592</v>
      </c>
      <c r="K74" s="215">
        <f>'Financial Statements'!L71</f>
        <v>1386204.3325702902</v>
      </c>
      <c r="L74" s="215">
        <f>'Financial Statements'!M71</f>
        <v>1436559.5629424001</v>
      </c>
      <c r="M74" s="215">
        <f>'Financial Statements'!N71</f>
        <v>1486373.9900446383</v>
      </c>
      <c r="N74" s="215">
        <f>'Financial Statements'!O71</f>
        <v>1535463.6002663395</v>
      </c>
      <c r="O74" s="215">
        <f>'Financial Statements'!P71</f>
        <v>1583641.2825952719</v>
      </c>
      <c r="P74" s="215">
        <f>'Financial Statements'!Q71</f>
        <v>1630717.9508771303</v>
      </c>
      <c r="Q74" s="215">
        <f>'Financial Statements'!R71</f>
        <v>1679639.4894034441</v>
      </c>
    </row>
    <row r="75" spans="1:17">
      <c r="A75" t="s">
        <v>180</v>
      </c>
      <c r="B75" s="33">
        <f>-('Financial Statements'!C75-'Financial Statements'!B75)</f>
        <v>449089.99999999907</v>
      </c>
      <c r="C75" s="33">
        <f>-('Financial Statements'!D75-'Financial Statements'!C75)</f>
        <v>-1503885.9999999991</v>
      </c>
      <c r="D75" s="33">
        <f>-('Financial Statements'!E75-'Financial Statements'!D75)</f>
        <v>-642821</v>
      </c>
      <c r="E75" s="33">
        <f>-('Financial Statements'!F75-'Financial Statements'!E75)</f>
        <v>-1112000</v>
      </c>
      <c r="F75" s="29">
        <f>-('Financial Statements'!G75-'Financial Statements'!F75)</f>
        <v>-461254.76661175489</v>
      </c>
      <c r="G75" s="29">
        <f>-('Financial Statements'!H75-'Financial Statements'!G75)</f>
        <v>-465576.56465760991</v>
      </c>
      <c r="H75" s="29">
        <f>-('Financial Statements'!I75-'Financial Statements'!H75)</f>
        <v>-468563.56566715054</v>
      </c>
      <c r="I75" s="29">
        <f>-('Financial Statements'!J75-'Financial Statements'!I75)</f>
        <v>-470138.93205358274</v>
      </c>
      <c r="J75" s="29">
        <f>-('Financial Statements'!K75-'Financial Statements'!J75)</f>
        <v>-470231.56654373184</v>
      </c>
      <c r="K75" s="29">
        <f>-('Financial Statements'!L75-'Financial Statements'!K75)</f>
        <v>-468776.96535655297</v>
      </c>
      <c r="L75" s="29">
        <f>-('Financial Statements'!M75-'Financial Statements'!L75)</f>
        <v>-465718.04580134898</v>
      </c>
      <c r="M75" s="29">
        <f>-('Financial Statements'!N75-'Financial Statements'!M75)</f>
        <v>-461005.93755181693</v>
      </c>
      <c r="N75" s="29">
        <f>-('Financial Statements'!O75-'Financial Statements'!N75)</f>
        <v>-454600.72683166713</v>
      </c>
      <c r="O75" s="29">
        <f>-('Financial Statements'!P75-'Financial Statements'!O75)</f>
        <v>-446472.14288648963</v>
      </c>
      <c r="P75" s="29">
        <f>-('Financial Statements'!Q75-'Financial Statements'!P75)</f>
        <v>-436600.17641884647</v>
      </c>
      <c r="Q75" s="29">
        <f>-('Financial Statements'!R75-'Financial Statements'!Q75)</f>
        <v>-449698.18171141855</v>
      </c>
    </row>
    <row r="76" spans="1:17">
      <c r="A76" s="7" t="s">
        <v>11</v>
      </c>
      <c r="B76" s="33">
        <f>'Financial Statements'!C65</f>
        <v>0</v>
      </c>
      <c r="C76" s="33">
        <f>'Financial Statements'!D65</f>
        <v>0</v>
      </c>
      <c r="D76" s="33">
        <f>'Financial Statements'!E65</f>
        <v>-46385</v>
      </c>
      <c r="E76" s="33">
        <f>'Financial Statements'!F65</f>
        <v>10000</v>
      </c>
      <c r="F76" s="29">
        <f>'Financial Statements'!G65</f>
        <v>0</v>
      </c>
      <c r="G76" s="29">
        <f>'Financial Statements'!H65</f>
        <v>0</v>
      </c>
      <c r="H76" s="29">
        <f>'Financial Statements'!I65</f>
        <v>0</v>
      </c>
      <c r="I76" s="29">
        <f>'Financial Statements'!J65</f>
        <v>0</v>
      </c>
      <c r="J76" s="29">
        <f>'Financial Statements'!K65</f>
        <v>0</v>
      </c>
      <c r="K76" s="29">
        <f>'Financial Statements'!L65</f>
        <v>0</v>
      </c>
      <c r="L76" s="29">
        <f>'Financial Statements'!M65</f>
        <v>0</v>
      </c>
      <c r="M76" s="29">
        <f>'Financial Statements'!N65</f>
        <v>0</v>
      </c>
      <c r="N76" s="29">
        <f>'Financial Statements'!O65</f>
        <v>0</v>
      </c>
      <c r="O76" s="29">
        <f>'Financial Statements'!P65</f>
        <v>0</v>
      </c>
      <c r="P76" s="29">
        <f>'Financial Statements'!Q65</f>
        <v>0</v>
      </c>
      <c r="Q76" s="29">
        <f>'Financial Statements'!R65</f>
        <v>0</v>
      </c>
    </row>
    <row r="77" spans="1:17" ht="14" thickBot="1">
      <c r="A77" t="s">
        <v>550</v>
      </c>
      <c r="B77" s="34">
        <f t="shared" ref="B77:Q77" si="16">SUM(B74:B76)</f>
        <v>1604273.3152518102</v>
      </c>
      <c r="C77" s="34">
        <f t="shared" si="16"/>
        <v>-358619.75684146443</v>
      </c>
      <c r="D77" s="34">
        <f t="shared" si="16"/>
        <v>282741.36842105258</v>
      </c>
      <c r="E77" s="34">
        <f t="shared" si="16"/>
        <v>-27376.574307304807</v>
      </c>
      <c r="F77" s="30">
        <f t="shared" si="16"/>
        <v>671158.26745318202</v>
      </c>
      <c r="G77" s="30">
        <f t="shared" si="16"/>
        <v>717313.6093134603</v>
      </c>
      <c r="H77" s="30">
        <f t="shared" si="16"/>
        <v>765102.26213071216</v>
      </c>
      <c r="I77" s="30">
        <f t="shared" si="16"/>
        <v>814446.83114438853</v>
      </c>
      <c r="J77" s="30">
        <f t="shared" si="16"/>
        <v>865256.5920123274</v>
      </c>
      <c r="K77" s="30">
        <f t="shared" si="16"/>
        <v>917427.36721373722</v>
      </c>
      <c r="L77" s="30">
        <f t="shared" si="16"/>
        <v>970841.51714105112</v>
      </c>
      <c r="M77" s="30">
        <f t="shared" si="16"/>
        <v>1025368.0524928214</v>
      </c>
      <c r="N77" s="30">
        <f t="shared" si="16"/>
        <v>1080862.8734346724</v>
      </c>
      <c r="O77" s="30">
        <f t="shared" si="16"/>
        <v>1137169.1397087823</v>
      </c>
      <c r="P77" s="30">
        <f t="shared" si="16"/>
        <v>1194117.7744582838</v>
      </c>
      <c r="Q77" s="30">
        <f t="shared" si="16"/>
        <v>1229941.3076920256</v>
      </c>
    </row>
    <row r="78" spans="1:17" ht="14" thickTop="1">
      <c r="B78" s="33"/>
      <c r="C78" s="33"/>
      <c r="D78" s="33"/>
      <c r="E78" s="33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>
      <c r="A79" t="s">
        <v>452</v>
      </c>
      <c r="B79" s="33"/>
      <c r="C79" s="33"/>
      <c r="D79" s="33"/>
      <c r="E79" s="33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>
      <c r="A80" t="s">
        <v>58</v>
      </c>
      <c r="B80" s="33">
        <f>B24</f>
        <v>3032079.9999999995</v>
      </c>
      <c r="C80" s="33">
        <f>C24</f>
        <v>1271437.0000000005</v>
      </c>
      <c r="D80" s="33">
        <f>D24</f>
        <v>1593314.9999999995</v>
      </c>
      <c r="E80" s="33">
        <f>E24</f>
        <v>2101000</v>
      </c>
      <c r="F80" s="29">
        <f t="shared" ref="F80:Q80" si="17">F24</f>
        <v>1652751.3262052557</v>
      </c>
      <c r="G80" s="29">
        <f t="shared" si="17"/>
        <v>1726946.1735717212</v>
      </c>
      <c r="H80" s="29">
        <f t="shared" si="17"/>
        <v>1801623.6702315435</v>
      </c>
      <c r="I80" s="29">
        <f t="shared" si="17"/>
        <v>1876559.1668376932</v>
      </c>
      <c r="J80" s="29">
        <f t="shared" si="17"/>
        <v>1951516.6527179244</v>
      </c>
      <c r="K80" s="29">
        <f t="shared" si="17"/>
        <v>2026249.8027638181</v>
      </c>
      <c r="L80" s="29">
        <f t="shared" si="17"/>
        <v>2100503.1563688926</v>
      </c>
      <c r="M80" s="29">
        <f t="shared" si="17"/>
        <v>2174013.4226778387</v>
      </c>
      <c r="N80" s="29">
        <f t="shared" si="17"/>
        <v>2246510.9046931216</v>
      </c>
      <c r="O80" s="29">
        <f t="shared" si="17"/>
        <v>2317721.0330907386</v>
      </c>
      <c r="P80" s="29">
        <f t="shared" si="17"/>
        <v>2387365.9989499333</v>
      </c>
      <c r="Q80" s="29">
        <f t="shared" si="17"/>
        <v>2458986.9789184309</v>
      </c>
    </row>
    <row r="81" spans="1:17">
      <c r="A81" t="s">
        <v>343</v>
      </c>
      <c r="B81" s="33">
        <f>-('Financial Statements'!C33-'Financial Statements'!B33)</f>
        <v>-333484</v>
      </c>
      <c r="C81" s="33">
        <f>-('Financial Statements'!D33-'Financial Statements'!C33)</f>
        <v>-43271</v>
      </c>
      <c r="D81" s="33">
        <f>-('Financial Statements'!E33-'Financial Statements'!D33)</f>
        <v>-12329</v>
      </c>
      <c r="E81" s="33">
        <f>-('Financial Statements'!F33-'Financial Statements'!E33)</f>
        <v>-1591000</v>
      </c>
      <c r="F81" s="29">
        <f>-('Financial Statements'!G33-'Financial Statements'!F33)</f>
        <v>-105399.10854841676</v>
      </c>
      <c r="G81" s="29">
        <f>-('Financial Statements'!H33-'Financial Statements'!G33)</f>
        <v>-106386.66183638852</v>
      </c>
      <c r="H81" s="29">
        <f>-('Financial Statements'!I33-'Financial Statements'!H33)</f>
        <v>-107069.20707261655</v>
      </c>
      <c r="I81" s="29">
        <f>-('Financial Statements'!J33-'Financial Statements'!I33)</f>
        <v>-107429.18646965735</v>
      </c>
      <c r="J81" s="29">
        <f>-('Financial Statements'!K33-'Financial Statements'!J33)</f>
        <v>-107450.35393152293</v>
      </c>
      <c r="K81" s="29">
        <f>-('Financial Statements'!L33-'Financial Statements'!K33)</f>
        <v>-107117.97000940423</v>
      </c>
      <c r="L81" s="29">
        <f>-('Financial Statements'!M33-'Financial Statements'!L33)</f>
        <v>-106418.99101216346</v>
      </c>
      <c r="M81" s="29">
        <f>-('Financial Statements'!N33-'Financial Statements'!M33)</f>
        <v>-105342.24981654761</v>
      </c>
      <c r="N81" s="29">
        <f>-('Financial Statements'!O33-'Financial Statements'!N33)</f>
        <v>-103878.62591748545</v>
      </c>
      <c r="O81" s="29">
        <f>-('Financial Statements'!P33-'Financial Statements'!O33)</f>
        <v>-102021.20229046233</v>
      </c>
      <c r="P81" s="29">
        <f>-('Financial Statements'!Q33-'Financial Statements'!P33)</f>
        <v>-99765.406707139686</v>
      </c>
      <c r="Q81" s="29">
        <f>-('Financial Statements'!R33-'Financial Statements'!Q33)</f>
        <v>-102758.36890835408</v>
      </c>
    </row>
    <row r="82" spans="1:17">
      <c r="A82" t="s">
        <v>59</v>
      </c>
      <c r="B82" s="33">
        <f>B31</f>
        <v>-1140825</v>
      </c>
      <c r="C82" s="33">
        <f>C31</f>
        <v>-1648200.9999999998</v>
      </c>
      <c r="D82" s="33">
        <f>D31</f>
        <v>-1338807.0000000005</v>
      </c>
      <c r="E82" s="33">
        <f>E31</f>
        <v>-631000</v>
      </c>
      <c r="F82" s="29">
        <f t="shared" ref="F82:Q82" si="18">F31</f>
        <v>-961719.96135388059</v>
      </c>
      <c r="G82" s="29">
        <f t="shared" si="18"/>
        <v>-992676.12438380392</v>
      </c>
      <c r="H82" s="29">
        <f t="shared" si="18"/>
        <v>-1022817.42159605</v>
      </c>
      <c r="I82" s="29">
        <f t="shared" si="18"/>
        <v>-1052002.5870443163</v>
      </c>
      <c r="J82" s="29">
        <f t="shared" si="18"/>
        <v>-1080090.3881821809</v>
      </c>
      <c r="K82" s="29">
        <f t="shared" si="18"/>
        <v>-1106940.6533487486</v>
      </c>
      <c r="L82" s="29">
        <f t="shared" si="18"/>
        <v>-1132415.3295398399</v>
      </c>
      <c r="M82" s="29">
        <f t="shared" si="18"/>
        <v>-1156379.560308893</v>
      </c>
      <c r="N82" s="29">
        <f t="shared" si="18"/>
        <v>-1178702.7729852106</v>
      </c>
      <c r="O82" s="29">
        <f t="shared" si="18"/>
        <v>-1199259.7638671959</v>
      </c>
      <c r="P82" s="29">
        <f t="shared" si="18"/>
        <v>-1217931.7696581981</v>
      </c>
      <c r="Q82" s="29">
        <f t="shared" si="18"/>
        <v>-1254469.7227479438</v>
      </c>
    </row>
    <row r="83" spans="1:17">
      <c r="A83" t="s">
        <v>264</v>
      </c>
      <c r="B83" s="33">
        <f>-'Financial Statements'!C20</f>
        <v>74427</v>
      </c>
      <c r="C83" s="33">
        <f>-'Financial Statements'!D20</f>
        <v>98712</v>
      </c>
      <c r="D83" s="33">
        <f>-'Financial Statements'!E20</f>
        <v>140000</v>
      </c>
      <c r="E83" s="33">
        <f>-'Financial Statements'!F20</f>
        <v>134000</v>
      </c>
      <c r="F83" s="29">
        <f>-'Financial Statements'!G20</f>
        <v>137048.7444062155</v>
      </c>
      <c r="G83" s="29">
        <f>-'Financial Statements'!H20</f>
        <v>143304.93690770995</v>
      </c>
      <c r="H83" s="29">
        <f>-'Financial Statements'!I20</f>
        <v>149610.46444169909</v>
      </c>
      <c r="I83" s="29">
        <f>-'Financial Statements'!J20</f>
        <v>155946.788354413</v>
      </c>
      <c r="J83" s="29">
        <f>-'Financial Statements'!K20</f>
        <v>162294.37141884581</v>
      </c>
      <c r="K83" s="29">
        <f>-'Financial Statements'!L20</f>
        <v>168632.76108902248</v>
      </c>
      <c r="L83" s="29">
        <f>-'Financial Statements'!M20</f>
        <v>174940.68409965589</v>
      </c>
      <c r="M83" s="29">
        <f>-'Financial Statements'!N20</f>
        <v>181196.15199333258</v>
      </c>
      <c r="N83" s="29">
        <f>-'Financial Statements'!O20</f>
        <v>187376.57701218588</v>
      </c>
      <c r="O83" s="29">
        <f>-'Financial Statements'!P20</f>
        <v>193458.89764663199</v>
      </c>
      <c r="P83" s="29">
        <f>-'Financial Statements'!Q20</f>
        <v>199419.71299234207</v>
      </c>
      <c r="Q83" s="29">
        <f>-'Financial Statements'!R20</f>
        <v>205402.30438211231</v>
      </c>
    </row>
    <row r="84" spans="1:17">
      <c r="A84" t="s">
        <v>386</v>
      </c>
      <c r="B84" s="33">
        <f>-(IF('Financial Statements'!C22=0,0,(-'Financial Statements'!C23)/'Financial Statements'!C22))*B83</f>
        <v>-27924.684748188869</v>
      </c>
      <c r="C84" s="33">
        <f>-(IF('Financial Statements'!D22=0,0,(-'Financial Statements'!D23)/'Financial Statements'!D22))*C83</f>
        <v>-37296.756841465365</v>
      </c>
      <c r="D84" s="33">
        <f>-(IF('Financial Statements'!E22=0,0,(-'Financial Statements'!E23)/'Financial Statements'!E22))*D83</f>
        <v>-53052.631578947367</v>
      </c>
      <c r="E84" s="33">
        <f>-(IF('Financial Statements'!F22=0,0,(-'Financial Statements'!F23)/'Financial Statements'!F22))*E83</f>
        <v>-50376.574307304785</v>
      </c>
      <c r="F84" s="29">
        <f>-(IF('Financial Statements'!G22=0,0,(-'Financial Statements'!G23)/'Financial Statements'!G22))*F83</f>
        <v>-51522.733255989078</v>
      </c>
      <c r="G84" s="29">
        <f>-(IF('Financial Statements'!H22=0,0,(-'Financial Statements'!H23)/'Financial Statements'!H22))*G83</f>
        <v>-53874.714945782645</v>
      </c>
      <c r="H84" s="29">
        <f>-(IF('Financial Statements'!I22=0,0,(-'Financial Statements'!I23)/'Financial Statements'!I22))*H83</f>
        <v>-56245.243873862943</v>
      </c>
      <c r="I84" s="29">
        <f>-(IF('Financial Statements'!J22=0,0,(-'Financial Statements'!J23)/'Financial Statements'!J22))*I83</f>
        <v>-58627.350533743425</v>
      </c>
      <c r="J84" s="29">
        <f>-(IF('Financial Statements'!K22=0,0,(-'Financial Statements'!K23)/'Financial Statements'!K22))*J83</f>
        <v>-61013.690010737373</v>
      </c>
      <c r="K84" s="29">
        <f>-(IF('Financial Statements'!L22=0,0,(-'Financial Statements'!L23)/'Financial Statements'!L22))*K83</f>
        <v>-63396.573280948629</v>
      </c>
      <c r="L84" s="29">
        <f>-(IF('Financial Statements'!M22=0,0,(-'Financial Statements'!M23)/'Financial Statements'!M22))*L83</f>
        <v>-65768.002775500354</v>
      </c>
      <c r="M84" s="29">
        <f>-(IF('Financial Statements'!N22=0,0,(-'Financial Statements'!N23)/'Financial Statements'!N22))*M83</f>
        <v>-68119.712052909032</v>
      </c>
      <c r="N84" s="29">
        <f>-(IF('Financial Statements'!O22=0,0,(-'Financial Statements'!O23)/'Financial Statements'!O22))*N83</f>
        <v>-70443.20936793134</v>
      </c>
      <c r="O84" s="29">
        <f>-(IF('Financial Statements'!P22=0,0,(-'Financial Statements'!P23)/'Financial Statements'!P22))*O83</f>
        <v>-72729.824870931552</v>
      </c>
      <c r="P84" s="29">
        <f>-(IF('Financial Statements'!Q22=0,0,(-'Financial Statements'!Q23)/'Financial Statements'!Q22))*P83</f>
        <v>-74970.761118657567</v>
      </c>
      <c r="Q84" s="29">
        <f>-(IF('Financial Statements'!R22=0,0,(-'Financial Statements'!R23)/'Financial Statements'!R22))*Q83</f>
        <v>-77219.883952217293</v>
      </c>
    </row>
    <row r="85" spans="1:17">
      <c r="A85" s="7" t="s">
        <v>11</v>
      </c>
      <c r="B85" s="33">
        <f>'Financial Statements'!C65</f>
        <v>0</v>
      </c>
      <c r="C85" s="33">
        <f>'Financial Statements'!D65</f>
        <v>0</v>
      </c>
      <c r="D85" s="33">
        <f>'Financial Statements'!E65</f>
        <v>-46385</v>
      </c>
      <c r="E85" s="33">
        <f>'Financial Statements'!F65</f>
        <v>10000</v>
      </c>
      <c r="F85" s="29">
        <f>'Financial Statements'!G65</f>
        <v>0</v>
      </c>
      <c r="G85" s="29">
        <f>'Financial Statements'!H65</f>
        <v>0</v>
      </c>
      <c r="H85" s="29">
        <f>'Financial Statements'!I65</f>
        <v>0</v>
      </c>
      <c r="I85" s="29">
        <f>'Financial Statements'!J65</f>
        <v>0</v>
      </c>
      <c r="J85" s="29">
        <f>'Financial Statements'!K65</f>
        <v>0</v>
      </c>
      <c r="K85" s="29">
        <f>'Financial Statements'!L65</f>
        <v>0</v>
      </c>
      <c r="L85" s="29">
        <f>'Financial Statements'!M65</f>
        <v>0</v>
      </c>
      <c r="M85" s="29">
        <f>'Financial Statements'!N65</f>
        <v>0</v>
      </c>
      <c r="N85" s="29">
        <f>'Financial Statements'!O65</f>
        <v>0</v>
      </c>
      <c r="O85" s="29">
        <f>'Financial Statements'!P65</f>
        <v>0</v>
      </c>
      <c r="P85" s="29">
        <f>'Financial Statements'!Q65</f>
        <v>0</v>
      </c>
      <c r="Q85" s="29">
        <f>'Financial Statements'!R65</f>
        <v>0</v>
      </c>
    </row>
    <row r="86" spans="1:17" ht="14" thickBot="1">
      <c r="A86" t="s">
        <v>550</v>
      </c>
      <c r="B86" s="34">
        <f>SUM(B80:B85)</f>
        <v>1604273.3152518107</v>
      </c>
      <c r="C86" s="34">
        <f>SUM(C80:C85)</f>
        <v>-358619.75684146467</v>
      </c>
      <c r="D86" s="34">
        <f>SUM(D80:D85)</f>
        <v>282741.36842105171</v>
      </c>
      <c r="E86" s="34">
        <f>SUM(E80:E85)</f>
        <v>-27376.574307304785</v>
      </c>
      <c r="F86" s="30">
        <f t="shared" ref="F86:Q86" si="19">SUM(F80:F85)</f>
        <v>671158.26745318482</v>
      </c>
      <c r="G86" s="30">
        <f t="shared" si="19"/>
        <v>717313.60931345599</v>
      </c>
      <c r="H86" s="30">
        <f t="shared" si="19"/>
        <v>765102.26213071309</v>
      </c>
      <c r="I86" s="30">
        <f t="shared" si="19"/>
        <v>814446.83114438911</v>
      </c>
      <c r="J86" s="30">
        <f t="shared" si="19"/>
        <v>865256.59201232903</v>
      </c>
      <c r="K86" s="30">
        <f t="shared" si="19"/>
        <v>917427.36721373908</v>
      </c>
      <c r="L86" s="30">
        <f t="shared" si="19"/>
        <v>970841.51714104484</v>
      </c>
      <c r="M86" s="30">
        <f t="shared" si="19"/>
        <v>1025368.0524928217</v>
      </c>
      <c r="N86" s="30">
        <f t="shared" si="19"/>
        <v>1080862.87343468</v>
      </c>
      <c r="O86" s="30">
        <f t="shared" si="19"/>
        <v>1137169.1397087809</v>
      </c>
      <c r="P86" s="30">
        <f t="shared" si="19"/>
        <v>1194117.7744582801</v>
      </c>
      <c r="Q86" s="30">
        <f t="shared" si="19"/>
        <v>1229941.3076920281</v>
      </c>
    </row>
    <row r="87" spans="1:17" ht="14" thickTop="1">
      <c r="B87" s="33"/>
      <c r="C87" s="33"/>
      <c r="D87" s="33"/>
      <c r="E87" s="33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>
      <c r="A88" t="s">
        <v>406</v>
      </c>
      <c r="B88" s="33"/>
      <c r="C88" s="33"/>
      <c r="D88" s="33"/>
      <c r="E88" s="33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>
      <c r="A89" t="s">
        <v>551</v>
      </c>
      <c r="B89" s="33">
        <f>-'Financial Statements'!C64</f>
        <v>0</v>
      </c>
      <c r="C89" s="33">
        <f>-'Financial Statements'!D64</f>
        <v>0</v>
      </c>
      <c r="D89" s="33">
        <f>-'Financial Statements'!E64</f>
        <v>0</v>
      </c>
      <c r="E89" s="33">
        <f>-'Financial Statements'!F64</f>
        <v>0</v>
      </c>
      <c r="F89" s="29">
        <f>-'Financial Statements'!G64</f>
        <v>0</v>
      </c>
      <c r="G89" s="29">
        <f>-'Financial Statements'!H64</f>
        <v>0</v>
      </c>
      <c r="H89" s="29">
        <f>-'Financial Statements'!I64</f>
        <v>0</v>
      </c>
      <c r="I89" s="29">
        <f>-'Financial Statements'!J64</f>
        <v>0</v>
      </c>
      <c r="J89" s="29">
        <f>-'Financial Statements'!K64</f>
        <v>0</v>
      </c>
      <c r="K89" s="29">
        <f>-'Financial Statements'!L64</f>
        <v>0</v>
      </c>
      <c r="L89" s="29">
        <f>-'Financial Statements'!M64</f>
        <v>0</v>
      </c>
      <c r="M89" s="29">
        <f>-'Financial Statements'!N64</f>
        <v>0</v>
      </c>
      <c r="N89" s="29">
        <f>-'Financial Statements'!O64</f>
        <v>0</v>
      </c>
      <c r="O89" s="29">
        <f>-'Financial Statements'!P64</f>
        <v>0</v>
      </c>
      <c r="P89" s="29">
        <f>-'Financial Statements'!Q64</f>
        <v>0</v>
      </c>
      <c r="Q89" s="29">
        <f>-'Financial Statements'!R64</f>
        <v>0</v>
      </c>
    </row>
    <row r="90" spans="1:17">
      <c r="A90" t="s">
        <v>264</v>
      </c>
      <c r="B90" s="33">
        <f>-'Financial Statements'!C20</f>
        <v>74427</v>
      </c>
      <c r="C90" s="33">
        <f>-'Financial Statements'!D20</f>
        <v>98712</v>
      </c>
      <c r="D90" s="33">
        <f>-'Financial Statements'!E20</f>
        <v>140000</v>
      </c>
      <c r="E90" s="33">
        <f>-'Financial Statements'!F20</f>
        <v>134000</v>
      </c>
      <c r="F90" s="29">
        <f>-'Financial Statements'!G20</f>
        <v>137048.7444062155</v>
      </c>
      <c r="G90" s="29">
        <f>-'Financial Statements'!H20</f>
        <v>143304.93690770995</v>
      </c>
      <c r="H90" s="29">
        <f>-'Financial Statements'!I20</f>
        <v>149610.46444169909</v>
      </c>
      <c r="I90" s="29">
        <f>-'Financial Statements'!J20</f>
        <v>155946.788354413</v>
      </c>
      <c r="J90" s="29">
        <f>-'Financial Statements'!K20</f>
        <v>162294.37141884581</v>
      </c>
      <c r="K90" s="29">
        <f>-'Financial Statements'!L20</f>
        <v>168632.76108902248</v>
      </c>
      <c r="L90" s="29">
        <f>-'Financial Statements'!M20</f>
        <v>174940.68409965589</v>
      </c>
      <c r="M90" s="29">
        <f>-'Financial Statements'!N20</f>
        <v>181196.15199333258</v>
      </c>
      <c r="N90" s="29">
        <f>-'Financial Statements'!O20</f>
        <v>187376.57701218588</v>
      </c>
      <c r="O90" s="29">
        <f>-'Financial Statements'!P20</f>
        <v>193458.89764663199</v>
      </c>
      <c r="P90" s="29">
        <f>-'Financial Statements'!Q20</f>
        <v>199419.71299234207</v>
      </c>
      <c r="Q90" s="29">
        <f>-'Financial Statements'!R20</f>
        <v>205402.30438211231</v>
      </c>
    </row>
    <row r="91" spans="1:17">
      <c r="A91" t="s">
        <v>386</v>
      </c>
      <c r="B91" s="33">
        <f>-(IF('Financial Statements'!C22=0,0,(-'Financial Statements'!C23)/'Financial Statements'!C22))*B90</f>
        <v>-27924.684748188869</v>
      </c>
      <c r="C91" s="33">
        <f>-(IF('Financial Statements'!D22=0,0,(-'Financial Statements'!D23)/'Financial Statements'!D22))*C90</f>
        <v>-37296.756841465365</v>
      </c>
      <c r="D91" s="33">
        <f>-(IF('Financial Statements'!E22=0,0,(-'Financial Statements'!E23)/'Financial Statements'!E22))*D90</f>
        <v>-53052.631578947367</v>
      </c>
      <c r="E91" s="33">
        <f>-(IF('Financial Statements'!F22=0,0,(-'Financial Statements'!F23)/'Financial Statements'!F22))*E90</f>
        <v>-50376.574307304785</v>
      </c>
      <c r="F91" s="29">
        <f>-(IF('Financial Statements'!G22=0,0,(-'Financial Statements'!G23)/'Financial Statements'!G22))*F90</f>
        <v>-51522.733255989078</v>
      </c>
      <c r="G91" s="29">
        <f>-(IF('Financial Statements'!H22=0,0,(-'Financial Statements'!H23)/'Financial Statements'!H22))*G90</f>
        <v>-53874.714945782645</v>
      </c>
      <c r="H91" s="29">
        <f>-(IF('Financial Statements'!I22=0,0,(-'Financial Statements'!I23)/'Financial Statements'!I22))*H90</f>
        <v>-56245.243873862943</v>
      </c>
      <c r="I91" s="29">
        <f>-(IF('Financial Statements'!J22=0,0,(-'Financial Statements'!J23)/'Financial Statements'!J22))*I90</f>
        <v>-58627.350533743425</v>
      </c>
      <c r="J91" s="29">
        <f>-(IF('Financial Statements'!K22=0,0,(-'Financial Statements'!K23)/'Financial Statements'!K22))*J90</f>
        <v>-61013.690010737373</v>
      </c>
      <c r="K91" s="29">
        <f>-(IF('Financial Statements'!L22=0,0,(-'Financial Statements'!L23)/'Financial Statements'!L22))*K90</f>
        <v>-63396.573280948629</v>
      </c>
      <c r="L91" s="29">
        <f>-(IF('Financial Statements'!M22=0,0,(-'Financial Statements'!M23)/'Financial Statements'!M22))*L90</f>
        <v>-65768.002775500354</v>
      </c>
      <c r="M91" s="29">
        <f>-(IF('Financial Statements'!N22=0,0,(-'Financial Statements'!N23)/'Financial Statements'!N22))*M90</f>
        <v>-68119.712052909032</v>
      </c>
      <c r="N91" s="29">
        <f>-(IF('Financial Statements'!O22=0,0,(-'Financial Statements'!O23)/'Financial Statements'!O22))*N90</f>
        <v>-70443.20936793134</v>
      </c>
      <c r="O91" s="29">
        <f>-(IF('Financial Statements'!P22=0,0,(-'Financial Statements'!P23)/'Financial Statements'!P22))*O90</f>
        <v>-72729.824870931552</v>
      </c>
      <c r="P91" s="29">
        <f>-(IF('Financial Statements'!Q22=0,0,(-'Financial Statements'!Q23)/'Financial Statements'!Q22))*P90</f>
        <v>-74970.761118657567</v>
      </c>
      <c r="Q91" s="29">
        <f>-(IF('Financial Statements'!R22=0,0,(-'Financial Statements'!R23)/'Financial Statements'!R22))*Q90</f>
        <v>-77219.883952217293</v>
      </c>
    </row>
    <row r="92" spans="1:17">
      <c r="A92" t="s">
        <v>112</v>
      </c>
      <c r="B92" s="33">
        <f>-'Financial Statements'!C28</f>
        <v>0</v>
      </c>
      <c r="C92" s="33">
        <f>-'Financial Statements'!D28</f>
        <v>0</v>
      </c>
      <c r="D92" s="33">
        <f>-'Financial Statements'!E28</f>
        <v>0</v>
      </c>
      <c r="E92" s="33">
        <f>-'Financial Statements'!F28</f>
        <v>0</v>
      </c>
      <c r="F92" s="29">
        <f>-'Financial Statements'!G28</f>
        <v>0</v>
      </c>
      <c r="G92" s="29">
        <f>-'Financial Statements'!H28</f>
        <v>0</v>
      </c>
      <c r="H92" s="29">
        <f>-'Financial Statements'!I28</f>
        <v>0</v>
      </c>
      <c r="I92" s="29">
        <f>-'Financial Statements'!J28</f>
        <v>0</v>
      </c>
      <c r="J92" s="29">
        <f>-'Financial Statements'!K28</f>
        <v>0</v>
      </c>
      <c r="K92" s="29">
        <f>-'Financial Statements'!L28</f>
        <v>0</v>
      </c>
      <c r="L92" s="29">
        <f>-'Financial Statements'!M28</f>
        <v>0</v>
      </c>
      <c r="M92" s="29">
        <f>-'Financial Statements'!N28</f>
        <v>0</v>
      </c>
      <c r="N92" s="29">
        <f>-'Financial Statements'!O28</f>
        <v>0</v>
      </c>
      <c r="O92" s="29">
        <f>-'Financial Statements'!P28</f>
        <v>0</v>
      </c>
      <c r="P92" s="29">
        <f>-'Financial Statements'!Q28</f>
        <v>0</v>
      </c>
      <c r="Q92" s="29">
        <f>-'Financial Statements'!R28</f>
        <v>0</v>
      </c>
    </row>
    <row r="93" spans="1:17">
      <c r="A93" t="s">
        <v>434</v>
      </c>
      <c r="B93" s="33">
        <f>-'Financial Statements'!C27-('Financial Statements'!C53-'Financial Statements'!B53)</f>
        <v>0</v>
      </c>
      <c r="C93" s="33">
        <f>-'Financial Statements'!D27-('Financial Statements'!D53-'Financial Statements'!C53)</f>
        <v>0</v>
      </c>
      <c r="D93" s="33">
        <f>-'Financial Statements'!E27-('Financial Statements'!E53-'Financial Statements'!D53)</f>
        <v>0</v>
      </c>
      <c r="E93" s="33">
        <f>-'Financial Statements'!F27-('Financial Statements'!F53-'Financial Statements'!E53)</f>
        <v>0</v>
      </c>
      <c r="F93" s="29">
        <f>-'Financial Statements'!G27-('Financial Statements'!G53-'Financial Statements'!F53)</f>
        <v>0</v>
      </c>
      <c r="G93" s="29">
        <f>-'Financial Statements'!H27-('Financial Statements'!H53-'Financial Statements'!G53)</f>
        <v>0</v>
      </c>
      <c r="H93" s="29">
        <f>-'Financial Statements'!I27-('Financial Statements'!I53-'Financial Statements'!H53)</f>
        <v>0</v>
      </c>
      <c r="I93" s="29">
        <f>-'Financial Statements'!J27-('Financial Statements'!J53-'Financial Statements'!I53)</f>
        <v>0</v>
      </c>
      <c r="J93" s="29">
        <f>-'Financial Statements'!K27-('Financial Statements'!K53-'Financial Statements'!J53)</f>
        <v>0</v>
      </c>
      <c r="K93" s="29">
        <f>-'Financial Statements'!L27-('Financial Statements'!L53-'Financial Statements'!K53)</f>
        <v>0</v>
      </c>
      <c r="L93" s="29">
        <f>-'Financial Statements'!M27-('Financial Statements'!M53-'Financial Statements'!L53)</f>
        <v>0</v>
      </c>
      <c r="M93" s="29">
        <f>-'Financial Statements'!N27-('Financial Statements'!N53-'Financial Statements'!M53)</f>
        <v>0</v>
      </c>
      <c r="N93" s="29">
        <f>-'Financial Statements'!O27-('Financial Statements'!O53-'Financial Statements'!N53)</f>
        <v>0</v>
      </c>
      <c r="O93" s="29">
        <f>-'Financial Statements'!P27-('Financial Statements'!P53-'Financial Statements'!O53)</f>
        <v>0</v>
      </c>
      <c r="P93" s="29">
        <f>-'Financial Statements'!Q27-('Financial Statements'!Q53-'Financial Statements'!P53)</f>
        <v>0</v>
      </c>
      <c r="Q93" s="29">
        <f>-'Financial Statements'!R27-('Financial Statements'!R53-'Financial Statements'!Q53)</f>
        <v>0</v>
      </c>
    </row>
    <row r="94" spans="1:17">
      <c r="A94" t="s">
        <v>145</v>
      </c>
      <c r="B94" s="33">
        <f>-('Financial Statements'!C55-'Financial Statements'!B55)</f>
        <v>1462623.9999999991</v>
      </c>
      <c r="C94" s="33">
        <f>-('Financial Statements'!D55-'Financial Statements'!C55)</f>
        <v>585643.00000000093</v>
      </c>
      <c r="D94" s="33">
        <f>-('Financial Statements'!E55-'Financial Statements'!D55)</f>
        <v>201217.99999999983</v>
      </c>
      <c r="E94" s="33">
        <f>-('Financial Statements'!F55-'Financial Statements'!E55)</f>
        <v>-113000</v>
      </c>
      <c r="F94" s="29">
        <f>-('Financial Statements'!G55-'Financial Statements'!F55)</f>
        <v>681779.30371280573</v>
      </c>
      <c r="G94" s="29">
        <f>-('Financial Statements'!H55-'Financial Statements'!G55)</f>
        <v>724931.29942813143</v>
      </c>
      <c r="H94" s="29">
        <f>-('Financial Statements'!I55-'Financial Statements'!H55)</f>
        <v>769407.58422991261</v>
      </c>
      <c r="I94" s="29">
        <f>-('Financial Statements'!J55-'Financial Statements'!I55)</f>
        <v>815126.31596123613</v>
      </c>
      <c r="J94" s="29">
        <f>-('Financial Statements'!K55-'Financial Statements'!J55)</f>
        <v>861994.14259821549</v>
      </c>
      <c r="K94" s="29">
        <f>-('Financial Statements'!L55-'Financial Statements'!K55)</f>
        <v>909906.20453996025</v>
      </c>
      <c r="L94" s="29">
        <f>-('Financial Statements'!M55-'Financial Statements'!L55)</f>
        <v>958746.23917514458</v>
      </c>
      <c r="M94" s="29">
        <f>-('Financial Statements'!N55-'Financial Statements'!M55)</f>
        <v>1008386.7923585828</v>
      </c>
      <c r="N94" s="29">
        <f>-('Financial Statements'!O55-'Financial Statements'!N55)</f>
        <v>1058689.5403724033</v>
      </c>
      <c r="O94" s="29">
        <f>-('Financial Statements'!P55-'Financial Statements'!O55)</f>
        <v>1109505.7247789893</v>
      </c>
      <c r="P94" s="29">
        <f>-('Financial Statements'!Q55-'Financial Statements'!P55)</f>
        <v>1160676.7013099454</v>
      </c>
      <c r="Q94" s="29">
        <f>-('Financial Statements'!R55-'Financial Statements'!Q55)</f>
        <v>1195497.0023492388</v>
      </c>
    </row>
    <row r="95" spans="1:17">
      <c r="A95" t="s">
        <v>387</v>
      </c>
      <c r="B95" s="33">
        <f>-('Financial Statements'!C44+'Financial Statements'!C49-'Financial Statements'!B49-'Financial Statements'!B44)</f>
        <v>95147</v>
      </c>
      <c r="C95" s="33">
        <f>-('Financial Statements'!D44+'Financial Statements'!D49-'Financial Statements'!C49-'Financial Statements'!C44)</f>
        <v>-1005678</v>
      </c>
      <c r="D95" s="33">
        <f>-('Financial Statements'!E44+'Financial Statements'!E49-'Financial Statements'!D49-'Financial Statements'!D44)</f>
        <v>-5424</v>
      </c>
      <c r="E95" s="33">
        <f>-('Financial Statements'!F44+'Financial Statements'!F49-'Financial Statements'!E49-'Financial Statements'!E44)</f>
        <v>2000</v>
      </c>
      <c r="F95" s="29">
        <f>-('Financial Statements'!G44+'Financial Statements'!G49-'Financial Statements'!F49-'Financial Statements'!F44)</f>
        <v>-96147.04740984831</v>
      </c>
      <c r="G95" s="29">
        <f>-('Financial Statements'!H44+'Financial Statements'!H49-'Financial Statements'!G49-'Financial Statements'!G44)</f>
        <v>-97047.912076599489</v>
      </c>
      <c r="H95" s="29">
        <f>-('Financial Statements'!I44+'Financial Statements'!I49-'Financial Statements'!H49-'Financial Statements'!H44)</f>
        <v>-97670.542667036323</v>
      </c>
      <c r="I95" s="29">
        <f>-('Financial Statements'!J44+'Financial Statements'!J49-'Financial Statements'!I49-'Financial Statements'!I44)</f>
        <v>-97998.922637517127</v>
      </c>
      <c r="J95" s="29">
        <f>-('Financial Statements'!K44+'Financial Statements'!K49-'Financial Statements'!J49-'Financial Statements'!J44)</f>
        <v>-98018.23199399616</v>
      </c>
      <c r="K95" s="29">
        <f>-('Financial Statements'!L44+'Financial Statements'!L49-'Financial Statements'!K49-'Financial Statements'!K44)</f>
        <v>-97715.025134295982</v>
      </c>
      <c r="L95" s="29">
        <f>-('Financial Statements'!M44+'Financial Statements'!M49-'Financial Statements'!L49-'Financial Statements'!L44)</f>
        <v>-97077.403358249576</v>
      </c>
      <c r="M95" s="29">
        <f>-('Financial Statements'!N44+'Financial Statements'!N49-'Financial Statements'!M49-'Financial Statements'!M44)</f>
        <v>-96095.179806184708</v>
      </c>
      <c r="N95" s="29">
        <f>-('Financial Statements'!O44+'Financial Statements'!O49-'Financial Statements'!N49-'Financial Statements'!N44)</f>
        <v>-94760.034581986285</v>
      </c>
      <c r="O95" s="29">
        <f>-('Financial Statements'!P44+'Financial Statements'!P49-'Financial Statements'!O49-'Financial Statements'!O44)</f>
        <v>-93065.657845908921</v>
      </c>
      <c r="P95" s="29">
        <f>-('Financial Statements'!Q44+'Financial Statements'!Q49-'Financial Statements'!P49-'Financial Statements'!P44)</f>
        <v>-91007.878725347982</v>
      </c>
      <c r="Q95" s="29">
        <f>-('Financial Statements'!R44+'Financial Statements'!R49-'Financial Statements'!Q49-'Financial Statements'!Q44)</f>
        <v>-93738.115087108701</v>
      </c>
    </row>
    <row r="96" spans="1:17">
      <c r="A96" t="s">
        <v>530</v>
      </c>
      <c r="B96" s="33">
        <f>-('Financial Statements'!C54-'Financial Statements'!B54)</f>
        <v>0</v>
      </c>
      <c r="C96" s="33">
        <f>-('Financial Statements'!D54-'Financial Statements'!C54)</f>
        <v>0</v>
      </c>
      <c r="D96" s="33">
        <f>-('Financial Statements'!E54-'Financial Statements'!D54)</f>
        <v>0</v>
      </c>
      <c r="E96" s="33">
        <f>-('Financial Statements'!F54-'Financial Statements'!E54)</f>
        <v>0</v>
      </c>
      <c r="F96" s="29">
        <f>-('Financial Statements'!G54-'Financial Statements'!F54)</f>
        <v>0</v>
      </c>
      <c r="G96" s="29">
        <f>-('Financial Statements'!H54-'Financial Statements'!G54)</f>
        <v>0</v>
      </c>
      <c r="H96" s="29">
        <f>-('Financial Statements'!I54-'Financial Statements'!H54)</f>
        <v>0</v>
      </c>
      <c r="I96" s="29">
        <f>-('Financial Statements'!J54-'Financial Statements'!I54)</f>
        <v>0</v>
      </c>
      <c r="J96" s="29">
        <f>-('Financial Statements'!K54-'Financial Statements'!J54)</f>
        <v>0</v>
      </c>
      <c r="K96" s="29">
        <f>-('Financial Statements'!L54-'Financial Statements'!K54)</f>
        <v>0</v>
      </c>
      <c r="L96" s="29">
        <f>-('Financial Statements'!M54-'Financial Statements'!L54)</f>
        <v>0</v>
      </c>
      <c r="M96" s="29">
        <f>-('Financial Statements'!N54-'Financial Statements'!M54)</f>
        <v>0</v>
      </c>
      <c r="N96" s="29">
        <f>-('Financial Statements'!O54-'Financial Statements'!N54)</f>
        <v>0</v>
      </c>
      <c r="O96" s="29">
        <f>-('Financial Statements'!P54-'Financial Statements'!O54)</f>
        <v>0</v>
      </c>
      <c r="P96" s="29">
        <f>-('Financial Statements'!Q54-'Financial Statements'!P54)</f>
        <v>0</v>
      </c>
      <c r="Q96" s="29">
        <f>-('Financial Statements'!R54-'Financial Statements'!Q54)</f>
        <v>0</v>
      </c>
    </row>
    <row r="97" spans="1:17" ht="14" thickBot="1">
      <c r="A97" t="s">
        <v>550</v>
      </c>
      <c r="B97" s="34">
        <f t="shared" ref="B97:Q97" si="20">SUM(B89:B96)</f>
        <v>1604273.3152518102</v>
      </c>
      <c r="C97" s="34">
        <f t="shared" si="20"/>
        <v>-358619.75684146443</v>
      </c>
      <c r="D97" s="34">
        <f t="shared" si="20"/>
        <v>282741.36842105247</v>
      </c>
      <c r="E97" s="34">
        <f t="shared" si="20"/>
        <v>-27376.574307304778</v>
      </c>
      <c r="F97" s="30">
        <f t="shared" si="20"/>
        <v>671158.26745318389</v>
      </c>
      <c r="G97" s="30">
        <f t="shared" si="20"/>
        <v>717313.60931345937</v>
      </c>
      <c r="H97" s="30">
        <f t="shared" si="20"/>
        <v>765102.26213071251</v>
      </c>
      <c r="I97" s="30">
        <f t="shared" si="20"/>
        <v>814446.83114438865</v>
      </c>
      <c r="J97" s="30">
        <f t="shared" si="20"/>
        <v>865256.59201232775</v>
      </c>
      <c r="K97" s="30">
        <f t="shared" si="20"/>
        <v>917427.36721373815</v>
      </c>
      <c r="L97" s="30">
        <f t="shared" si="20"/>
        <v>970841.51714105054</v>
      </c>
      <c r="M97" s="30">
        <f t="shared" si="20"/>
        <v>1025368.0524928216</v>
      </c>
      <c r="N97" s="30">
        <f t="shared" si="20"/>
        <v>1080862.8734346717</v>
      </c>
      <c r="O97" s="30">
        <f t="shared" si="20"/>
        <v>1137169.1397087807</v>
      </c>
      <c r="P97" s="30">
        <f t="shared" si="20"/>
        <v>1194117.7744582819</v>
      </c>
      <c r="Q97" s="30">
        <f t="shared" si="20"/>
        <v>1229941.3076920251</v>
      </c>
    </row>
    <row r="98" spans="1:17" ht="14" thickTop="1">
      <c r="B98" s="14"/>
      <c r="C98" s="14"/>
      <c r="D98" s="14"/>
      <c r="E98" s="14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>
      <c r="A99" t="s">
        <v>513</v>
      </c>
      <c r="B99" s="33"/>
      <c r="C99" s="33"/>
      <c r="D99" s="33"/>
      <c r="E99" s="33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>
      <c r="A100" t="s">
        <v>377</v>
      </c>
      <c r="B100" s="33">
        <f>'Financial Statements'!C19</f>
        <v>1814801</v>
      </c>
      <c r="C100" s="33">
        <f>'Financial Statements'!D19</f>
        <v>1804477</v>
      </c>
      <c r="D100" s="33">
        <f>'Financial Statements'!E19</f>
        <v>1536000</v>
      </c>
      <c r="E100" s="33">
        <f>'Financial Statements'!F19</f>
        <v>1712000</v>
      </c>
      <c r="F100" s="42">
        <f>'Financial Statements'!G19</f>
        <v>1804138.4003521423</v>
      </c>
      <c r="G100" s="42">
        <f>'Financial Statements'!H19</f>
        <v>1884554.7856382979</v>
      </c>
      <c r="H100" s="42">
        <f>'Financial Statements'!I19</f>
        <v>1965446.505351156</v>
      </c>
      <c r="I100" s="42">
        <f>'Financial Statements'!J19</f>
        <v>2046567.8370909989</v>
      </c>
      <c r="J100" s="42">
        <f>'Financial Statements'!K19</f>
        <v>2127660.9689130718</v>
      </c>
      <c r="K100" s="42">
        <f>'Financial Statements'!L19</f>
        <v>2208457.1617788784</v>
      </c>
      <c r="L100" s="42">
        <f>'Financial Statements'!M19</f>
        <v>2288678.05396281</v>
      </c>
      <c r="M100" s="42">
        <f>'Financial Statements'!N19</f>
        <v>2368037.1008299896</v>
      </c>
      <c r="N100" s="42">
        <f>'Financial Statements'!O19</f>
        <v>2446241.1415443867</v>
      </c>
      <c r="O100" s="42">
        <f>'Financial Statements'!P19</f>
        <v>2522992.0824379823</v>
      </c>
      <c r="P100" s="42">
        <f>'Financial Statements'!Q19</f>
        <v>2597988.6850006799</v>
      </c>
      <c r="Q100" s="42">
        <f>'Financial Statements'!R19</f>
        <v>2675928.3455507006</v>
      </c>
    </row>
    <row r="101" spans="1:17">
      <c r="A101" t="s">
        <v>147</v>
      </c>
      <c r="B101" s="33">
        <f>'Financial Statements'!C23+(IF('Financial Statements'!C22=0,0,(-'Financial Statements'!C23)/'Financial Statements'!C22))*'Financial Statements'!C20</f>
        <v>-693688.68474818883</v>
      </c>
      <c r="C101" s="33">
        <f>'Financial Statements'!D23+(IF('Financial Statements'!D22=0,0,(-'Financial Statements'!D23)/'Financial Statements'!D22))*'Financial Statements'!D20</f>
        <v>-695506.75684146537</v>
      </c>
      <c r="D101" s="33">
        <f>'Financial Statements'!E23+(IF('Financial Statements'!E22=0,0,(-'Financial Statements'!E23)/'Financial Statements'!E22))*'Financial Statements'!E20</f>
        <v>-593052.63157894742</v>
      </c>
      <c r="E101" s="33">
        <f>'Financial Statements'!F23+(IF('Financial Statements'!F22=0,0,(-'Financial Statements'!F23)/'Financial Statements'!F22))*'Financial Statements'!F20</f>
        <v>-647376.57430730481</v>
      </c>
      <c r="F101" s="29">
        <f>'Financial Statements'!G23+(IF('Financial Statements'!G22=0,0,(-'Financial Statements'!G23)/'Financial Statements'!G22))*'Financial Statements'!G20</f>
        <v>-682190.2939826108</v>
      </c>
      <c r="G101" s="29">
        <f>'Financial Statements'!H23+(IF('Financial Statements'!H22=0,0,(-'Financial Statements'!H23)/'Financial Statements'!H22))*'Financial Statements'!H20</f>
        <v>-712598.82327016036</v>
      </c>
      <c r="H101" s="29">
        <f>'Financial Statements'!I23+(IF('Financial Statements'!I22=0,0,(-'Financial Statements'!I23)/'Financial Statements'!I22))*'Financial Statements'!I20</f>
        <v>-743187.18384997372</v>
      </c>
      <c r="I101" s="29">
        <f>'Financial Statements'!J23+(IF('Financial Statements'!J22=0,0,(-'Financial Statements'!J23)/'Financial Statements'!J22))*'Financial Statements'!J20</f>
        <v>-773862.46279433789</v>
      </c>
      <c r="J101" s="29">
        <f>'Financial Statements'!K23+(IF('Financial Statements'!K22=0,0,(-'Financial Statements'!K23)/'Financial Statements'!K22))*'Financial Statements'!K20</f>
        <v>-804527.17523508309</v>
      </c>
      <c r="K101" s="29">
        <f>'Financial Statements'!L23+(IF('Financial Statements'!L22=0,0,(-'Financial Statements'!L23)/'Financial Statements'!L22))*'Financial Statements'!L20</f>
        <v>-835079.7038793778</v>
      </c>
      <c r="L101" s="29">
        <f>'Financial Statements'!M23+(IF('Financial Statements'!M22=0,0,(-'Financial Statements'!M23)/'Financial Statements'!M22))*'Financial Statements'!M20</f>
        <v>-865414.79220647109</v>
      </c>
      <c r="M101" s="29">
        <f>'Financial Statements'!N23+(IF('Financial Statements'!N22=0,0,(-'Financial Statements'!N23)/'Financial Statements'!N22))*'Financial Statements'!N20</f>
        <v>-895424.08885635622</v>
      </c>
      <c r="N101" s="29">
        <f>'Financial Statements'!O23+(IF('Financial Statements'!O22=0,0,(-'Financial Statements'!O23)/'Financial Statements'!O22))*'Financial Statements'!O20</f>
        <v>-924996.74001917732</v>
      </c>
      <c r="O101" s="29">
        <f>'Financial Statements'!P23+(IF('Financial Statements'!P22=0,0,(-'Financial Statements'!P23)/'Financial Statements'!P22))*'Financial Statements'!P20</f>
        <v>-954020.0259428632</v>
      </c>
      <c r="P101" s="29">
        <f>'Financial Statements'!Q23+(IF('Financial Statements'!Q22=0,0,(-'Financial Statements'!Q23)/'Financial Statements'!Q22))*'Financial Statements'!Q20</f>
        <v>-982380.03700670705</v>
      </c>
      <c r="Q101" s="29">
        <f>'Financial Statements'!R23+(IF('Financial Statements'!R22=0,0,(-'Financial Statements'!R23)/'Financial Statements'!R22))*'Financial Statements'!R20</f>
        <v>-1011851.4381169085</v>
      </c>
    </row>
    <row r="102" spans="1:17">
      <c r="A102" t="s">
        <v>339</v>
      </c>
      <c r="B102" s="33">
        <f>'Financial Statements'!C51-'Financial Statements'!B51</f>
        <v>25729</v>
      </c>
      <c r="C102" s="33">
        <f>'Financial Statements'!D51-'Financial Statements'!C51</f>
        <v>18921</v>
      </c>
      <c r="D102" s="33">
        <f>'Financial Statements'!E51-'Financial Statements'!D51</f>
        <v>57549</v>
      </c>
      <c r="E102" s="33">
        <f>'Financial Statements'!F51-'Financial Statements'!E51</f>
        <v>57000</v>
      </c>
      <c r="F102" s="29">
        <f>'Financial Statements'!G51-'Financial Statements'!F51</f>
        <v>17527.774116785673</v>
      </c>
      <c r="G102" s="29">
        <f>'Financial Statements'!H51-'Financial Statements'!G51</f>
        <v>17692.003313770867</v>
      </c>
      <c r="H102" s="29">
        <f>'Financial Statements'!I51-'Financial Statements'!H51</f>
        <v>17805.509954290465</v>
      </c>
      <c r="I102" s="29">
        <f>'Financial Statements'!J51-'Financial Statements'!I51</f>
        <v>17865.374194557022</v>
      </c>
      <c r="J102" s="29">
        <f>'Financial Statements'!K51-'Financial Statements'!J51</f>
        <v>17868.894323857152</v>
      </c>
      <c r="K102" s="29">
        <f>'Financial Statements'!L51-'Financial Statements'!K51</f>
        <v>17813.619185507472</v>
      </c>
      <c r="L102" s="29">
        <f>'Financial Statements'!M51-'Financial Statements'!L51</f>
        <v>17697.379625754547</v>
      </c>
      <c r="M102" s="29">
        <f>'Financial Statements'!N51-'Financial Statements'!M51</f>
        <v>17518.318562346045</v>
      </c>
      <c r="N102" s="29">
        <f>'Financial Statements'!O51-'Financial Statements'!N51</f>
        <v>17274.919263737102</v>
      </c>
      <c r="O102" s="29">
        <f>'Financial Statements'!P51-'Financial Statements'!O51</f>
        <v>16966.031435158453</v>
      </c>
      <c r="P102" s="29">
        <f>'Financial Statements'!Q51-'Financial Statements'!P51</f>
        <v>16590.894719272968</v>
      </c>
      <c r="Q102" s="29">
        <f>'Financial Statements'!R51-'Financial Statements'!Q51</f>
        <v>17088.621560851112</v>
      </c>
    </row>
    <row r="103" spans="1:17">
      <c r="A103" t="s">
        <v>148</v>
      </c>
      <c r="B103" s="33">
        <f>SUM(B100:B102)</f>
        <v>1146841.3152518112</v>
      </c>
      <c r="C103" s="33">
        <f>SUM(C100:C102)</f>
        <v>1127891.2431585346</v>
      </c>
      <c r="D103" s="33">
        <f>SUM(D100:D102)</f>
        <v>1000496.3684210526</v>
      </c>
      <c r="E103" s="33">
        <f>SUM(E100:E102)</f>
        <v>1121623.4256926952</v>
      </c>
      <c r="F103" s="29">
        <f t="shared" ref="F103:Q103" si="21">SUM(F100:F102)</f>
        <v>1139475.8804863172</v>
      </c>
      <c r="G103" s="29">
        <f t="shared" si="21"/>
        <v>1189647.9656819087</v>
      </c>
      <c r="H103" s="29">
        <f t="shared" si="21"/>
        <v>1240064.8314554729</v>
      </c>
      <c r="I103" s="29">
        <f t="shared" si="21"/>
        <v>1290570.7484912181</v>
      </c>
      <c r="J103" s="29">
        <f t="shared" si="21"/>
        <v>1341002.688001846</v>
      </c>
      <c r="K103" s="29">
        <f t="shared" si="21"/>
        <v>1391191.0770850081</v>
      </c>
      <c r="L103" s="29">
        <f t="shared" si="21"/>
        <v>1440960.6413820935</v>
      </c>
      <c r="M103" s="29">
        <f t="shared" si="21"/>
        <v>1490131.3305359795</v>
      </c>
      <c r="N103" s="29">
        <f t="shared" si="21"/>
        <v>1538519.3207889465</v>
      </c>
      <c r="O103" s="29">
        <f t="shared" si="21"/>
        <v>1585938.0879302775</v>
      </c>
      <c r="P103" s="29">
        <f t="shared" si="21"/>
        <v>1632199.5427132458</v>
      </c>
      <c r="Q103" s="29">
        <f t="shared" si="21"/>
        <v>1681165.5289946431</v>
      </c>
    </row>
    <row r="104" spans="1:17">
      <c r="A104" t="s">
        <v>556</v>
      </c>
      <c r="B104" s="33">
        <f>-'Financial Statements'!C18</f>
        <v>387674</v>
      </c>
      <c r="C104" s="33">
        <f>-'Financial Statements'!D18</f>
        <v>452145</v>
      </c>
      <c r="D104" s="33">
        <f>-'Financial Statements'!E18</f>
        <v>541000</v>
      </c>
      <c r="E104" s="33">
        <f>-'Financial Statements'!F18</f>
        <v>590000</v>
      </c>
      <c r="F104" s="29">
        <f>-'Financial Statements'!G18</f>
        <v>604887.95513019373</v>
      </c>
      <c r="G104" s="29">
        <f>-'Financial Statements'!H18</f>
        <v>632500.72535677161</v>
      </c>
      <c r="H104" s="29">
        <f>-'Financial Statements'!I18</f>
        <v>660331.24414464657</v>
      </c>
      <c r="I104" s="29">
        <f>-'Financial Statements'!J18</f>
        <v>688297.6879906673</v>
      </c>
      <c r="J104" s="29">
        <f>-'Financial Statements'!K18</f>
        <v>716313.82601877768</v>
      </c>
      <c r="K104" s="29">
        <f>-'Financial Statements'!L18</f>
        <v>744289.38743689191</v>
      </c>
      <c r="L104" s="29">
        <f>-'Financial Statements'!M18</f>
        <v>772130.47906857659</v>
      </c>
      <c r="M104" s="29">
        <f>-'Financial Statements'!N18</f>
        <v>799740.05111524381</v>
      </c>
      <c r="N104" s="29">
        <f>-'Financial Statements'!O18</f>
        <v>827018.40866377216</v>
      </c>
      <c r="O104" s="29">
        <f>-'Financial Statements'!P18</f>
        <v>853863.76581721893</v>
      </c>
      <c r="P104" s="29">
        <f>-'Financial Statements'!Q18</f>
        <v>880172.83870217821</v>
      </c>
      <c r="Q104" s="29">
        <f>-'Financial Statements'!R18</f>
        <v>906578.02386324352</v>
      </c>
    </row>
    <row r="105" spans="1:17">
      <c r="A105" s="7" t="s">
        <v>456</v>
      </c>
      <c r="B105" s="33">
        <f>'Financial Statements'!C21</f>
        <v>34071</v>
      </c>
      <c r="C105" s="33">
        <f>'Financial Statements'!D21</f>
        <v>36296</v>
      </c>
      <c r="D105" s="33">
        <f>'Financial Statements'!E21</f>
        <v>29000</v>
      </c>
      <c r="E105" s="33">
        <f>'Financial Statements'!F21</f>
        <v>10000</v>
      </c>
      <c r="F105" s="29">
        <f>'Financial Statements'!G21</f>
        <v>10464.927695405455</v>
      </c>
      <c r="G105" s="29">
        <f>'Financial Statements'!H21</f>
        <v>10934.211602932533</v>
      </c>
      <c r="H105" s="29">
        <f>'Financial Statements'!I21</f>
        <v>11406.506296680291</v>
      </c>
      <c r="I105" s="29">
        <f>'Financial Statements'!J21</f>
        <v>11880.388901310451</v>
      </c>
      <c r="J105" s="29">
        <f>'Financial Statements'!K21</f>
        <v>12354.364878070586</v>
      </c>
      <c r="K105" s="29">
        <f>'Financial Statements'!L21</f>
        <v>12826.874670789617</v>
      </c>
      <c r="L105" s="29">
        <f>'Financial Statements'!M21</f>
        <v>13296.301186061623</v>
      </c>
      <c r="M105" s="29">
        <f>'Financial Statements'!N21</f>
        <v>13760.978071004489</v>
      </c>
      <c r="N105" s="29">
        <f>'Financial Statements'!O21</f>
        <v>14219.19874113014</v>
      </c>
      <c r="O105" s="29">
        <f>'Financial Statements'!P21</f>
        <v>14669.226100152911</v>
      </c>
      <c r="P105" s="29">
        <f>'Financial Statements'!Q21</f>
        <v>15109.302883157497</v>
      </c>
      <c r="Q105" s="29">
        <f>'Financial Statements'!R21</f>
        <v>15562.581969652223</v>
      </c>
    </row>
    <row r="106" spans="1:17">
      <c r="A106" s="7" t="s">
        <v>457</v>
      </c>
      <c r="B106" s="33">
        <f>'Financial Statements'!C24</f>
        <v>0</v>
      </c>
      <c r="C106" s="33">
        <f>'Financial Statements'!D24</f>
        <v>0</v>
      </c>
      <c r="D106" s="33">
        <f>'Financial Statements'!E24</f>
        <v>0</v>
      </c>
      <c r="E106" s="33">
        <f>'Financial Statements'!F24</f>
        <v>0</v>
      </c>
      <c r="F106" s="29">
        <f>'Financial Statements'!G24</f>
        <v>0</v>
      </c>
      <c r="G106" s="29">
        <f>'Financial Statements'!H24</f>
        <v>0</v>
      </c>
      <c r="H106" s="29">
        <f>'Financial Statements'!I24</f>
        <v>0</v>
      </c>
      <c r="I106" s="29">
        <f>'Financial Statements'!J24</f>
        <v>0</v>
      </c>
      <c r="J106" s="29">
        <f>'Financial Statements'!K24</f>
        <v>0</v>
      </c>
      <c r="K106" s="29">
        <f>'Financial Statements'!L24</f>
        <v>0</v>
      </c>
      <c r="L106" s="29">
        <f>'Financial Statements'!M24</f>
        <v>0</v>
      </c>
      <c r="M106" s="29">
        <f>'Financial Statements'!N24</f>
        <v>0</v>
      </c>
      <c r="N106" s="29">
        <f>'Financial Statements'!O24</f>
        <v>0</v>
      </c>
      <c r="O106" s="29">
        <f>'Financial Statements'!P24</f>
        <v>0</v>
      </c>
      <c r="P106" s="29">
        <f>'Financial Statements'!Q24</f>
        <v>0</v>
      </c>
      <c r="Q106" s="29">
        <f>'Financial Statements'!R24</f>
        <v>0</v>
      </c>
    </row>
    <row r="107" spans="1:17">
      <c r="A107" s="7" t="s">
        <v>458</v>
      </c>
      <c r="B107" s="33">
        <f>'Financial Statements'!C26</f>
        <v>0</v>
      </c>
      <c r="C107" s="33">
        <f>'Financial Statements'!D26</f>
        <v>0</v>
      </c>
      <c r="D107" s="33">
        <f>'Financial Statements'!E26</f>
        <v>0</v>
      </c>
      <c r="E107" s="33">
        <f>'Financial Statements'!F26</f>
        <v>0</v>
      </c>
      <c r="F107" s="29">
        <f>'Financial Statements'!G26</f>
        <v>0</v>
      </c>
      <c r="G107" s="29">
        <f>'Financial Statements'!H26</f>
        <v>0</v>
      </c>
      <c r="H107" s="29">
        <f>'Financial Statements'!I26</f>
        <v>0</v>
      </c>
      <c r="I107" s="29">
        <f>'Financial Statements'!J26</f>
        <v>0</v>
      </c>
      <c r="J107" s="29">
        <f>'Financial Statements'!K26</f>
        <v>0</v>
      </c>
      <c r="K107" s="29">
        <f>'Financial Statements'!L26</f>
        <v>0</v>
      </c>
      <c r="L107" s="29">
        <f>'Financial Statements'!M26</f>
        <v>0</v>
      </c>
      <c r="M107" s="29">
        <f>'Financial Statements'!N26</f>
        <v>0</v>
      </c>
      <c r="N107" s="29">
        <f>'Financial Statements'!O26</f>
        <v>0</v>
      </c>
      <c r="O107" s="29">
        <f>'Financial Statements'!P26</f>
        <v>0</v>
      </c>
      <c r="P107" s="29">
        <f>'Financial Statements'!Q26</f>
        <v>0</v>
      </c>
      <c r="Q107" s="29">
        <f>'Financial Statements'!R26</f>
        <v>0</v>
      </c>
    </row>
    <row r="108" spans="1:17">
      <c r="A108" t="s">
        <v>506</v>
      </c>
      <c r="B108" s="33">
        <f>SUM(B103:B107)</f>
        <v>1568586.3152518112</v>
      </c>
      <c r="C108" s="33">
        <f>SUM(C103:C107)</f>
        <v>1616332.2431585346</v>
      </c>
      <c r="D108" s="33">
        <f>SUM(D103:D107)</f>
        <v>1570496.3684210526</v>
      </c>
      <c r="E108" s="33">
        <f>SUM(E103:E107)</f>
        <v>1721623.4256926952</v>
      </c>
      <c r="F108" s="29">
        <f t="shared" ref="F108:Q108" si="22">SUM(F103:F107)</f>
        <v>1754828.7633119163</v>
      </c>
      <c r="G108" s="29">
        <f t="shared" si="22"/>
        <v>1833082.9026416128</v>
      </c>
      <c r="H108" s="29">
        <f t="shared" si="22"/>
        <v>1911802.5818967996</v>
      </c>
      <c r="I108" s="29">
        <f t="shared" si="22"/>
        <v>1990748.8253831959</v>
      </c>
      <c r="J108" s="29">
        <f t="shared" si="22"/>
        <v>2069670.8788986942</v>
      </c>
      <c r="K108" s="29">
        <f t="shared" si="22"/>
        <v>2148307.3391926894</v>
      </c>
      <c r="L108" s="29">
        <f t="shared" si="22"/>
        <v>2226387.4216367314</v>
      </c>
      <c r="M108" s="29">
        <f t="shared" si="22"/>
        <v>2303632.3597222278</v>
      </c>
      <c r="N108" s="29">
        <f t="shared" si="22"/>
        <v>2379756.9281938486</v>
      </c>
      <c r="O108" s="29">
        <f t="shared" si="22"/>
        <v>2454471.0798476492</v>
      </c>
      <c r="P108" s="29">
        <f t="shared" si="22"/>
        <v>2527481.6842985814</v>
      </c>
      <c r="Q108" s="29">
        <f t="shared" si="22"/>
        <v>2603306.1348275389</v>
      </c>
    </row>
    <row r="109" spans="1:17">
      <c r="A109" t="s">
        <v>508</v>
      </c>
      <c r="B109" s="33">
        <f>-('Financial Statements'!C37-'Financial Statements'!B37)+('Financial Statements'!C48-'Financial Statements'!C44-'Financial Statements'!B48+'Financial Statements'!B44)</f>
        <v>1126314.9999999991</v>
      </c>
      <c r="C109" s="33">
        <f>-('Financial Statements'!D37-'Financial Statements'!C37)+('Financial Statements'!D48-'Financial Statements'!D44-'Financial Statements'!C48+'Financial Statements'!C44)</f>
        <v>-463919</v>
      </c>
      <c r="D109" s="33">
        <f>-('Financial Statements'!E37-'Financial Statements'!D37)+('Financial Statements'!E48-'Financial Statements'!E44-'Financial Statements'!D48+'Financial Statements'!D44)</f>
        <v>63142</v>
      </c>
      <c r="E109" s="33">
        <f>-('Financial Statements'!F37-'Financial Statements'!E37)+('Financial Statements'!F48-'Financial Statements'!F44-'Financial Statements'!E48+'Financial Statements'!E44)</f>
        <v>-1209000</v>
      </c>
      <c r="F109" s="29">
        <f>-('Financial Statements'!G37-'Financial Statements'!F37)+('Financial Statements'!G48-'Financial Statements'!G44-'Financial Statements'!F48+'Financial Statements'!F44)</f>
        <v>-144639.00604063785</v>
      </c>
      <c r="G109" s="29">
        <f>-('Financial Statements'!H37-'Financial Statements'!G37)+('Financial Statements'!H48-'Financial Statements'!H44-'Financial Statements'!G48+'Financial Statements'!G44)</f>
        <v>-145994.22363167355</v>
      </c>
      <c r="H109" s="29">
        <f>-('Financial Statements'!I37-'Financial Statements'!H37)+('Financial Statements'!I48-'Financial Statements'!I44-'Financial Statements'!H48+'Financial Statements'!H44)</f>
        <v>-146930.87922492708</v>
      </c>
      <c r="I109" s="29">
        <f>-('Financial Statements'!J37-'Financial Statements'!I37)+('Financial Statements'!J48-'Financial Statements'!J44-'Financial Statements'!I48+'Financial Statements'!I44)</f>
        <v>-147424.87830044239</v>
      </c>
      <c r="J109" s="29">
        <f>-('Financial Statements'!K37-'Financial Statements'!J37)+('Financial Statements'!K48-'Financial Statements'!K44-'Financial Statements'!J48+'Financial Statements'!J44)</f>
        <v>-147453.92637007879</v>
      </c>
      <c r="K109" s="29">
        <f>-('Financial Statements'!L37-'Financial Statements'!K37)+('Financial Statements'!L48-'Financial Statements'!L44-'Financial Statements'!K48+'Financial Statements'!K44)</f>
        <v>-146997.79651489091</v>
      </c>
      <c r="L109" s="29">
        <f>-('Financial Statements'!M37-'Financial Statements'!L37)+('Financial Statements'!M48-'Financial Statements'!M44-'Financial Statements'!L48+'Financial Statements'!L44)</f>
        <v>-146038.58890111942</v>
      </c>
      <c r="M109" s="29">
        <f>-('Financial Statements'!N37-'Financial Statements'!M37)+('Financial Statements'!N48-'Financial Statements'!N44-'Financial Statements'!M48+'Financial Statements'!M44)</f>
        <v>-144560.97890572646</v>
      </c>
      <c r="N109" s="29">
        <f>-('Financial Statements'!O37-'Financial Statements'!N37)+('Financial Statements'!O48-'Financial Statements'!O44-'Financial Statements'!N48+'Financial Statements'!N44)</f>
        <v>-142552.45047609045</v>
      </c>
      <c r="O109" s="29">
        <f>-('Financial Statements'!P37-'Financial Statements'!O37)+('Financial Statements'!P48-'Financial Statements'!P44-'Financial Statements'!O48+'Financial Statements'!O44)</f>
        <v>-140003.51139198351</v>
      </c>
      <c r="P109" s="29">
        <f>-('Financial Statements'!Q37-'Financial Statements'!P37)+('Financial Statements'!Q48-'Financial Statements'!Q44-'Financial Statements'!P48+'Financial Statements'!P44)</f>
        <v>-136907.88719272747</v>
      </c>
      <c r="Q109" s="29">
        <f>-('Financial Statements'!R37-'Financial Statements'!Q37)+('Financial Statements'!R48-'Financial Statements'!R44-'Financial Statements'!Q48+'Financial Statements'!Q44)</f>
        <v>-141015.12380850874</v>
      </c>
    </row>
    <row r="110" spans="1:17">
      <c r="A110" t="s">
        <v>507</v>
      </c>
      <c r="B110" s="33">
        <f>-('Financial Statements'!C38-'Financial Statements'!B38-'Financial Statements'!C18)</f>
        <v>-1196816</v>
      </c>
      <c r="C110" s="33">
        <f>-('Financial Statements'!D38-'Financial Statements'!C38-'Financial Statements'!D18)</f>
        <v>-1608990</v>
      </c>
      <c r="D110" s="33">
        <f>-('Financial Statements'!E38-'Financial Statements'!D38-'Financial Statements'!E18)</f>
        <v>-1015181</v>
      </c>
      <c r="E110" s="33">
        <f>-('Financial Statements'!F38-'Financial Statements'!E38-'Financial Statements'!F18)</f>
        <v>-624000</v>
      </c>
      <c r="F110" s="29">
        <f>-('Financial Statements'!G38-'Financial Statements'!F38-'Financial Statements'!G18)</f>
        <v>-931174.21176574228</v>
      </c>
      <c r="G110" s="29">
        <f>-('Financial Statements'!H38-'Financial Statements'!G38-'Financial Statements'!H18)</f>
        <v>-961844.17165927496</v>
      </c>
      <c r="H110" s="29">
        <f>-('Financial Statements'!I38-'Financial Statements'!H38-'Financial Statements'!I18)</f>
        <v>-991787.66021682241</v>
      </c>
      <c r="I110" s="29">
        <f>-('Financial Statements'!J38-'Financial Statements'!I38-'Financial Statements'!J18)</f>
        <v>-1020868.4999201149</v>
      </c>
      <c r="J110" s="29">
        <f>-('Financial Statements'!K38-'Financial Statements'!J38-'Financial Statements'!K18)</f>
        <v>-1048950.1665090397</v>
      </c>
      <c r="K110" s="29">
        <f>-('Financial Statements'!L38-'Financial Statements'!K38-'Financial Statements'!L18)</f>
        <v>-1075896.7599671083</v>
      </c>
      <c r="L110" s="29">
        <f>-('Financial Statements'!M38-'Financial Statements'!L38-'Financial Statements'!M18)</f>
        <v>-1101574.0074864693</v>
      </c>
      <c r="M110" s="29">
        <f>-('Financial Statements'!N38-'Financial Statements'!M38-'Financial Statements'!N18)</f>
        <v>-1125850.2889681468</v>
      </c>
      <c r="N110" s="29">
        <f>-('Financial Statements'!O38-'Financial Statements'!N38-'Financial Statements'!O18)</f>
        <v>-1148597.6749579553</v>
      </c>
      <c r="O110" s="29">
        <f>-('Financial Statements'!P38-'Financial Statements'!O38-'Financial Statements'!P18)</f>
        <v>-1169692.9663793999</v>
      </c>
      <c r="P110" s="29">
        <f>-('Financial Statements'!Q38-'Financial Statements'!P38-'Financial Statements'!Q18)</f>
        <v>-1189018.7250147969</v>
      </c>
      <c r="Q110" s="29">
        <f>-('Financial Statements'!R38-'Financial Statements'!Q38-'Financial Statements'!R18)</f>
        <v>-1224689.2867652406</v>
      </c>
    </row>
    <row r="111" spans="1:17">
      <c r="A111" t="s">
        <v>105</v>
      </c>
      <c r="B111" s="33">
        <f>-('Financial Statements'!C39-'Financial Statements'!B39)</f>
        <v>0</v>
      </c>
      <c r="C111" s="33">
        <f>-('Financial Statements'!D39-'Financial Statements'!C39)</f>
        <v>0</v>
      </c>
      <c r="D111" s="33">
        <f>-('Financial Statements'!E39-'Financial Statements'!D39)</f>
        <v>-332000</v>
      </c>
      <c r="E111" s="33">
        <f>-('Financial Statements'!F39-'Financial Statements'!E39)</f>
        <v>11000</v>
      </c>
      <c r="F111" s="29">
        <f>-('Financial Statements'!G39-'Financial Statements'!F39)</f>
        <v>-14924.179022515076</v>
      </c>
      <c r="G111" s="29">
        <f>-('Financial Statements'!H39-'Financial Statements'!G39)</f>
        <v>-15064.013431619212</v>
      </c>
      <c r="H111" s="29">
        <f>-('Financial Statements'!I39-'Financial Statements'!H39)</f>
        <v>-15160.659669303044</v>
      </c>
      <c r="I111" s="29">
        <f>-('Financial Statements'!J39-'Financial Statements'!I39)</f>
        <v>-15211.631608628144</v>
      </c>
      <c r="J111" s="29">
        <f>-('Financial Statements'!K39-'Financial Statements'!J39)</f>
        <v>-15214.628854000359</v>
      </c>
      <c r="K111" s="29">
        <f>-('Financial Statements'!L39-'Financial Statements'!K39)</f>
        <v>-15167.56434628088</v>
      </c>
      <c r="L111" s="29">
        <f>-('Financial Statements'!M39-'Financial Statements'!L39)</f>
        <v>-15068.59114023135</v>
      </c>
      <c r="M111" s="29">
        <f>-('Financial Statements'!N39-'Financial Statements'!M39)</f>
        <v>-14916.128006666026</v>
      </c>
      <c r="N111" s="29">
        <f>-('Financial Statements'!O39-'Financial Statements'!N39)</f>
        <v>-14708.883511033375</v>
      </c>
      <c r="O111" s="29">
        <f>-('Financial Statements'!P39-'Financial Statements'!O39)</f>
        <v>-14445.878224631015</v>
      </c>
      <c r="P111" s="29">
        <f>-('Financial Statements'!Q39-'Financial Statements'!P39)</f>
        <v>-14126.464734447247</v>
      </c>
      <c r="Q111" s="29">
        <f>-('Financial Statements'!R39-'Financial Statements'!Q39)</f>
        <v>-14550.258676480618</v>
      </c>
    </row>
    <row r="112" spans="1:17">
      <c r="A112" t="s">
        <v>263</v>
      </c>
      <c r="B112" s="33">
        <f>-('Financial Statements'!C40-'Financial Statements'!B40)</f>
        <v>-6906</v>
      </c>
      <c r="C112" s="33">
        <f>-('Financial Statements'!D40-'Financial Statements'!C40)</f>
        <v>9328</v>
      </c>
      <c r="D112" s="33">
        <f>-('Financial Statements'!E40-'Financial Statements'!D40)</f>
        <v>9296</v>
      </c>
      <c r="E112" s="33">
        <f>-('Financial Statements'!F40-'Financial Statements'!E40)</f>
        <v>6000</v>
      </c>
      <c r="F112" s="29">
        <f>-('Financial Statements'!G40-'Financial Statements'!F40)</f>
        <v>-9484.5249862712808</v>
      </c>
      <c r="G112" s="29">
        <f>-('Financial Statements'!H40-'Financial Statements'!G40)</f>
        <v>-9573.3917135523807</v>
      </c>
      <c r="H112" s="29">
        <f>-('Financial Statements'!I40-'Financial Statements'!H40)</f>
        <v>-9634.8117524542613</v>
      </c>
      <c r="I112" s="29">
        <f>-('Financial Statements'!J40-'Financial Statements'!I40)</f>
        <v>-9667.2051344552601</v>
      </c>
      <c r="J112" s="29">
        <f>-('Financial Statements'!K40-'Financial Statements'!J40)</f>
        <v>-9669.1099259067851</v>
      </c>
      <c r="K112" s="29">
        <f>-('Financial Statements'!L40-'Financial Statements'!K40)</f>
        <v>-9639.1997714682366</v>
      </c>
      <c r="L112" s="29">
        <f>-('Financial Statements'!M40-'Financial Statements'!L40)</f>
        <v>-9576.3009115488676</v>
      </c>
      <c r="M112" s="29">
        <f>-('Financial Statements'!N40-'Financial Statements'!M40)</f>
        <v>-9479.4084528344683</v>
      </c>
      <c r="N112" s="29">
        <f>-('Financial Statements'!O40-'Financial Statements'!N40)</f>
        <v>-9347.7016705633141</v>
      </c>
      <c r="O112" s="29">
        <f>-('Financial Statements'!P40-'Financial Statements'!O40)</f>
        <v>-9180.5581240645261</v>
      </c>
      <c r="P112" s="29">
        <f>-('Financial Statements'!Q40-'Financial Statements'!P40)</f>
        <v>-8977.5663732935791</v>
      </c>
      <c r="Q112" s="29">
        <f>-('Financial Statements'!R40-'Financial Statements'!Q40)</f>
        <v>-9246.8933644923964</v>
      </c>
    </row>
    <row r="113" spans="1:18">
      <c r="A113" t="s">
        <v>106</v>
      </c>
      <c r="B113" s="33">
        <f>-('Financial Statements'!C41-'Financial Statements'!B41)</f>
        <v>62896.999999999935</v>
      </c>
      <c r="C113" s="33">
        <f>-('Financial Statements'!D41-'Financial Statements'!C41)</f>
        <v>-48538.99999999976</v>
      </c>
      <c r="D113" s="33">
        <f>-('Financial Statements'!E41-'Financial Statements'!D41)</f>
        <v>-922.00000000048021</v>
      </c>
      <c r="E113" s="33">
        <f>-('Financial Statements'!F41-'Financial Statements'!E41)</f>
        <v>-24000</v>
      </c>
      <c r="F113" s="29">
        <f>-('Financial Statements'!G41-'Financial Statements'!F41)</f>
        <v>-6137.0455793520086</v>
      </c>
      <c r="G113" s="29">
        <f>-('Financial Statements'!H41-'Financial Statements'!G41)</f>
        <v>-6194.5475793574296</v>
      </c>
      <c r="H113" s="29">
        <f>-('Financial Statements'!I41-'Financial Statements'!H41)</f>
        <v>-6234.2899574704061</v>
      </c>
      <c r="I113" s="29">
        <f>-('Financial Statements'!J41-'Financial Statements'!I41)</f>
        <v>-6255.2503811181232</v>
      </c>
      <c r="J113" s="29">
        <f>-('Financial Statements'!K41-'Financial Statements'!J41)</f>
        <v>-6256.4828932337696</v>
      </c>
      <c r="K113" s="29">
        <f>-('Financial Statements'!L41-'Financial Statements'!K41)</f>
        <v>-6237.1292638912273</v>
      </c>
      <c r="L113" s="29">
        <f>-('Financial Statements'!M41-'Financial Statements'!L41)</f>
        <v>-6196.4300015904591</v>
      </c>
      <c r="M113" s="29">
        <f>-('Financial Statements'!N41-'Financial Statements'!M41)</f>
        <v>-6133.7348812458222</v>
      </c>
      <c r="N113" s="29">
        <f>-('Financial Statements'!O41-'Financial Statements'!N41)</f>
        <v>-6048.5128456586099</v>
      </c>
      <c r="O113" s="29">
        <f>-('Financial Statements'!P41-'Financial Statements'!O41)</f>
        <v>-5940.3611391005688</v>
      </c>
      <c r="P113" s="29">
        <f>-('Financial Statements'!Q41-'Financial Statements'!P41)</f>
        <v>-5809.013535660546</v>
      </c>
      <c r="Q113" s="29">
        <f>-('Financial Statements'!R41-'Financial Statements'!Q41)</f>
        <v>-5983.2839417303621</v>
      </c>
    </row>
    <row r="114" spans="1:18">
      <c r="A114" t="s">
        <v>340</v>
      </c>
      <c r="B114" s="33">
        <f>('Financial Statements'!C50-'Financial Statements'!B50)</f>
        <v>50196.999999999884</v>
      </c>
      <c r="C114" s="33">
        <f>('Financial Statements'!D50-'Financial Statements'!C50)</f>
        <v>137168.00000000038</v>
      </c>
      <c r="D114" s="33">
        <f>('Financial Statements'!E50-'Financial Statements'!D50)</f>
        <v>34294.999999999825</v>
      </c>
      <c r="E114" s="33">
        <f>('Financial Statements'!F50-'Financial Statements'!E50)</f>
        <v>81000</v>
      </c>
      <c r="F114" s="29">
        <f>('Financial Statements'!G50-'Financial Statements'!F50)</f>
        <v>22688.471535786171</v>
      </c>
      <c r="G114" s="29">
        <f>('Financial Statements'!H50-'Financial Statements'!G50)</f>
        <v>22901.054687321419</v>
      </c>
      <c r="H114" s="29">
        <f>('Financial Statements'!I50-'Financial Statements'!H50)</f>
        <v>23047.981054890552</v>
      </c>
      <c r="I114" s="29">
        <f>('Financial Statements'!J50-'Financial Statements'!I50)</f>
        <v>23125.471105951932</v>
      </c>
      <c r="J114" s="29">
        <f>('Financial Statements'!K50-'Financial Statements'!J50)</f>
        <v>23130.027665894595</v>
      </c>
      <c r="K114" s="29">
        <f>('Financial Statements'!L50-'Financial Statements'!K50)</f>
        <v>23058.477884688647</v>
      </c>
      <c r="L114" s="29">
        <f>('Financial Statements'!M50-'Financial Statements'!L50)</f>
        <v>22908.013945273822</v>
      </c>
      <c r="M114" s="29">
        <f>('Financial Statements'!N50-'Financial Statements'!M50)</f>
        <v>22676.231985211838</v>
      </c>
      <c r="N114" s="29">
        <f>('Financial Statements'!O50-'Financial Statements'!N50)</f>
        <v>22361.168702131836</v>
      </c>
      <c r="O114" s="29">
        <f>('Financial Statements'!P50-'Financial Statements'!O50)</f>
        <v>21961.33512031124</v>
      </c>
      <c r="P114" s="29">
        <f>('Financial Statements'!Q50-'Financial Statements'!P50)</f>
        <v>21475.74701062392</v>
      </c>
      <c r="Q114" s="29">
        <f>('Financial Statements'!R50-'Financial Statements'!Q50)</f>
        <v>22120.019420942524</v>
      </c>
    </row>
    <row r="115" spans="1:18">
      <c r="A115" s="7" t="s">
        <v>11</v>
      </c>
      <c r="B115" s="33">
        <f>'Financial Statements'!C65</f>
        <v>0</v>
      </c>
      <c r="C115" s="33">
        <f>'Financial Statements'!D65</f>
        <v>0</v>
      </c>
      <c r="D115" s="33">
        <f>'Financial Statements'!E65</f>
        <v>-46385</v>
      </c>
      <c r="E115" s="33">
        <f>'Financial Statements'!F65</f>
        <v>10000</v>
      </c>
      <c r="F115" s="29">
        <f>'Financial Statements'!G65</f>
        <v>0</v>
      </c>
      <c r="G115" s="29">
        <f>'Financial Statements'!H65</f>
        <v>0</v>
      </c>
      <c r="H115" s="29">
        <f>'Financial Statements'!I65</f>
        <v>0</v>
      </c>
      <c r="I115" s="29">
        <f>'Financial Statements'!J65</f>
        <v>0</v>
      </c>
      <c r="J115" s="29">
        <f>'Financial Statements'!K65</f>
        <v>0</v>
      </c>
      <c r="K115" s="29">
        <f>'Financial Statements'!L65</f>
        <v>0</v>
      </c>
      <c r="L115" s="29">
        <f>'Financial Statements'!M65</f>
        <v>0</v>
      </c>
      <c r="M115" s="29">
        <f>'Financial Statements'!N65</f>
        <v>0</v>
      </c>
      <c r="N115" s="29">
        <f>'Financial Statements'!O65</f>
        <v>0</v>
      </c>
      <c r="O115" s="29">
        <f>'Financial Statements'!P65</f>
        <v>0</v>
      </c>
      <c r="P115" s="29">
        <f>'Financial Statements'!Q65</f>
        <v>0</v>
      </c>
      <c r="Q115" s="29">
        <f>'Financial Statements'!R65</f>
        <v>0</v>
      </c>
    </row>
    <row r="116" spans="1:18" ht="14" thickBot="1">
      <c r="A116" t="s">
        <v>550</v>
      </c>
      <c r="B116" s="34">
        <f>SUM(B108:B115)</f>
        <v>1604273.3152518105</v>
      </c>
      <c r="C116" s="34">
        <f>SUM(C108:C115)</f>
        <v>-358619.75684146478</v>
      </c>
      <c r="D116" s="34">
        <f>SUM(D108:D115)</f>
        <v>282741.36842105194</v>
      </c>
      <c r="E116" s="34">
        <f>SUM(E108:E115)</f>
        <v>-27376.574307304807</v>
      </c>
      <c r="F116" s="30">
        <f t="shared" ref="F116:Q116" si="23">SUM(F108:F115)</f>
        <v>671158.267453184</v>
      </c>
      <c r="G116" s="30">
        <f t="shared" si="23"/>
        <v>717313.60931345681</v>
      </c>
      <c r="H116" s="30">
        <f t="shared" si="23"/>
        <v>765102.26213071297</v>
      </c>
      <c r="I116" s="30">
        <f t="shared" si="23"/>
        <v>814446.831144389</v>
      </c>
      <c r="J116" s="30">
        <f t="shared" si="23"/>
        <v>865256.59201232949</v>
      </c>
      <c r="K116" s="30">
        <f t="shared" si="23"/>
        <v>917427.3672137385</v>
      </c>
      <c r="L116" s="30">
        <f t="shared" si="23"/>
        <v>970841.51714104577</v>
      </c>
      <c r="M116" s="30">
        <f t="shared" si="23"/>
        <v>1025368.0524928204</v>
      </c>
      <c r="N116" s="30">
        <f t="shared" si="23"/>
        <v>1080862.8734346793</v>
      </c>
      <c r="O116" s="30">
        <f t="shared" si="23"/>
        <v>1137169.1397087811</v>
      </c>
      <c r="P116" s="30">
        <f t="shared" si="23"/>
        <v>1194117.7744582798</v>
      </c>
      <c r="Q116" s="30">
        <f t="shared" si="23"/>
        <v>1229941.3076920288</v>
      </c>
    </row>
    <row r="117" spans="1:18" ht="14" thickTop="1"/>
    <row r="118" spans="1:18">
      <c r="A118" s="76" t="s">
        <v>14</v>
      </c>
      <c r="B118" s="38"/>
      <c r="C118" s="38"/>
      <c r="D118" s="38"/>
      <c r="E118" s="38"/>
      <c r="F118" s="38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</row>
    <row r="119" spans="1:18">
      <c r="A119" s="174" t="s">
        <v>95</v>
      </c>
      <c r="B119" s="38"/>
      <c r="C119" s="38"/>
      <c r="D119" s="38"/>
      <c r="E119" s="38"/>
      <c r="F119" s="38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</row>
    <row r="120" spans="1:18">
      <c r="A120" s="25" t="s">
        <v>510</v>
      </c>
      <c r="B120" s="38">
        <f>(('Financial Statements'!C37-'Financial Statements'!C33-'Financial Statements'!C48+'Financial Statements'!C44)-('Financial Statements'!B37-'Financial Statements'!B33-'Financial Statements'!B48+'Financial Statements'!B44))/('Financial Statements'!B75-'Financial Statements'!B33)</f>
        <v>-0.21390666846216694</v>
      </c>
      <c r="C120" s="38">
        <f>(('Financial Statements'!D37-'Financial Statements'!D33-'Financial Statements'!D48+'Financial Statements'!D44)-('Financial Statements'!C37-'Financial Statements'!C33-'Financial Statements'!C48+'Financial Statements'!C44))/('Financial Statements'!C75-'Financial Statements'!C33)</f>
        <v>6.9621888371740437E-2</v>
      </c>
      <c r="D120" s="38">
        <f>(('Financial Statements'!E37-'Financial Statements'!E33-'Financial Statements'!E48+'Financial Statements'!E44)-('Financial Statements'!D37-'Financial Statements'!D33-'Financial Statements'!D48+'Financial Statements'!D44))/('Financial Statements'!D75-'Financial Statements'!D33)</f>
        <v>-1.0059436124559947E-2</v>
      </c>
      <c r="E120" s="38">
        <f>(('Financial Statements'!F37-'Financial Statements'!F33-'Financial Statements'!F48+'Financial Statements'!F44)-('Financial Statements'!E37-'Financial Statements'!E33-'Financial Statements'!E48+'Financial Statements'!E44))/('Financial Statements'!E75-'Financial Statements'!E33)</f>
        <v>-4.6969138079429484E-2</v>
      </c>
      <c r="F120" s="39">
        <f>(('Financial Statements'!G37-'Financial Statements'!G33-'Financial Statements'!G48+'Financial Statements'!G44)-('Financial Statements'!F37-'Financial Statements'!F33-'Financial Statements'!F48+'Financial Statements'!F44))/('Financial Statements'!F75-'Financial Statements'!F33)</f>
        <v>5.1267177282755391E-3</v>
      </c>
      <c r="G120" s="39">
        <f>(('Financial Statements'!H37-'Financial Statements'!H33-'Financial Statements'!H48+'Financial Statements'!H44)-('Financial Statements'!G37-'Financial Statements'!G33-'Financial Statements'!G48+'Financial Statements'!G44))/('Financial Statements'!G75-'Financial Statements'!G33)</f>
        <v>4.9448533764042523E-3</v>
      </c>
      <c r="H120" s="39">
        <f>(('Financial Statements'!I37-'Financial Statements'!I33-'Financial Statements'!I48+'Financial Statements'!I44)-('Financial Statements'!H37-'Financial Statements'!H33-'Financial Statements'!H48+'Financial Statements'!H44))/('Financial Statements'!H75-'Financial Statements'!H33)</f>
        <v>4.7629890245330852E-3</v>
      </c>
      <c r="I120" s="39">
        <f>(('Financial Statements'!J37-'Financial Statements'!J33-'Financial Statements'!J48+'Financial Statements'!J44)-('Financial Statements'!I37-'Financial Statements'!I33-'Financial Statements'!I48+'Financial Statements'!I44))/('Financial Statements'!I75-'Financial Statements'!I33)</f>
        <v>4.5811246726618522E-3</v>
      </c>
      <c r="J120" s="39">
        <f>(('Financial Statements'!K37-'Financial Statements'!K33-'Financial Statements'!K48+'Financial Statements'!K44)-('Financial Statements'!J37-'Financial Statements'!J33-'Financial Statements'!J48+'Financial Statements'!J44))/('Financial Statements'!J75-'Financial Statements'!J33)</f>
        <v>4.3992603207908031E-3</v>
      </c>
      <c r="K120" s="39">
        <f>(('Financial Statements'!L37-'Financial Statements'!L33-'Financial Statements'!L48+'Financial Statements'!L44)-('Financial Statements'!K37-'Financial Statements'!K33-'Financial Statements'!K48+'Financial Statements'!K44))/('Financial Statements'!K75-'Financial Statements'!K33)</f>
        <v>4.2173959689195961E-3</v>
      </c>
      <c r="L120" s="39">
        <f>(('Financial Statements'!M37-'Financial Statements'!M33-'Financial Statements'!M48+'Financial Statements'!M44)-('Financial Statements'!L37-'Financial Statements'!L33-'Financial Statements'!L48+'Financial Statements'!L44))/('Financial Statements'!L75-'Financial Statements'!L33)</f>
        <v>4.0355316170481879E-3</v>
      </c>
      <c r="M120" s="39">
        <f>(('Financial Statements'!N37-'Financial Statements'!N33-'Financial Statements'!N48+'Financial Statements'!N44)-('Financial Statements'!M37-'Financial Statements'!M33-'Financial Statements'!M48+'Financial Statements'!M44))/('Financial Statements'!M75-'Financial Statements'!M33)</f>
        <v>3.8536672651773058E-3</v>
      </c>
      <c r="N120" s="39">
        <f>(('Financial Statements'!O37-'Financial Statements'!O33-'Financial Statements'!O48+'Financial Statements'!O44)-('Financial Statements'!N37-'Financial Statements'!N33-'Financial Statements'!N48+'Financial Statements'!N44))/('Financial Statements'!N75-'Financial Statements'!N33)</f>
        <v>3.6718029133059392E-3</v>
      </c>
      <c r="O120" s="39">
        <f>(('Financial Statements'!P37-'Financial Statements'!P33-'Financial Statements'!P48+'Financial Statements'!P44)-('Financial Statements'!O37-'Financial Statements'!O33-'Financial Statements'!O48+'Financial Statements'!O44))/('Financial Statements'!O75-'Financial Statements'!O33)</f>
        <v>3.4899385614347491E-3</v>
      </c>
      <c r="P120" s="39">
        <f>(('Financial Statements'!Q37-'Financial Statements'!Q33-'Financial Statements'!Q48+'Financial Statements'!Q44)-('Financial Statements'!P37-'Financial Statements'!P33-'Financial Statements'!P48+'Financial Statements'!P44))/('Financial Statements'!P75-'Financial Statements'!P33)</f>
        <v>3.3080742095636865E-3</v>
      </c>
      <c r="Q120" s="39">
        <f>(('Financial Statements'!R37-'Financial Statements'!R33-'Financial Statements'!R48+'Financial Statements'!R44)-('Financial Statements'!Q37-'Financial Statements'!Q33-'Financial Statements'!Q48+'Financial Statements'!Q44))/('Financial Statements'!Q75-'Financial Statements'!Q33)</f>
        <v>3.3080742095636367E-3</v>
      </c>
      <c r="R120" s="39"/>
    </row>
    <row r="121" spans="1:18">
      <c r="A121" s="25" t="s">
        <v>369</v>
      </c>
      <c r="B121" s="38">
        <f>(('Financial Statements'!C42-'Financial Statements'!C37-'Financial Statements'!C52+'Financial Statements'!C49+'Financial Statements'!C48+'Financial Statements'!C53)-('Financial Statements'!B42-'Financial Statements'!B37-'Financial Statements'!B52+'Financial Statements'!B49+'Financial Statements'!B48+'Financial Statements'!B53))/('Financial Statements'!B75-'Financial Statements'!B33)</f>
        <v>9.9234855996812504E-2</v>
      </c>
      <c r="C121" s="38">
        <f>(('Financial Statements'!D42-'Financial Statements'!D37-'Financial Statements'!D52+'Financial Statements'!D49+'Financial Statements'!D48+'Financial Statements'!D53)-('Financial Statements'!C42-'Financial Statements'!C37-'Financial Statements'!C52+'Financial Statements'!C49+'Financial Statements'!C48+'Financial Statements'!C53))/('Financial Statements'!C75-'Financial Statements'!C33)</f>
        <v>0.17212602076865641</v>
      </c>
      <c r="D121" s="38">
        <f>(('Financial Statements'!E42-'Financial Statements'!E37-'Financial Statements'!E52+'Financial Statements'!E49+'Financial Statements'!E48+'Financial Statements'!E53)-('Financial Statements'!D42-'Financial Statements'!D37-'Financial Statements'!D52+'Financial Statements'!D49+'Financial Statements'!D48+'Financial Statements'!D53))/('Financial Statements'!D75-'Financial Statements'!D33)</f>
        <v>9.4096933985275327E-2</v>
      </c>
      <c r="E121" s="38">
        <f>(('Financial Statements'!F42-'Financial Statements'!F37-'Financial Statements'!F52+'Financial Statements'!F49+'Financial Statements'!F48+'Financial Statements'!F53)-('Financial Statements'!E42-'Financial Statements'!E37-'Financial Statements'!E52+'Financial Statements'!E49+'Financial Statements'!E48+'Financial Statements'!E53))/('Financial Statements'!E75-'Financial Statements'!E33)</f>
        <v>-1.1926718308127382E-2</v>
      </c>
      <c r="F121" s="39">
        <f>(('Financial Statements'!G42-'Financial Statements'!G37-'Financial Statements'!G52+'Financial Statements'!G49+'Financial Statements'!G48+'Financial Statements'!G53)-('Financial Statements'!F42-'Financial Statements'!F37-'Financial Statements'!F52+'Financial Statements'!F49+'Financial Statements'!F48+'Financial Statements'!F53))/('Financial Statements'!F75-'Financial Statements'!F33)</f>
        <v>4.1366051812270259E-2</v>
      </c>
      <c r="G121" s="39">
        <f>(('Financial Statements'!H42-'Financial Statements'!H37-'Financial Statements'!H52+'Financial Statements'!H49+'Financial Statements'!H48+'Financial Statements'!H53)-('Financial Statements'!G42-'Financial Statements'!G37-'Financial Statements'!G52+'Financial Statements'!G49+'Financial Statements'!G48+'Financial Statements'!G53))/('Financial Statements'!G75-'Financial Statements'!G33)</f>
        <v>3.9898639210086399E-2</v>
      </c>
      <c r="H121" s="39">
        <f>(('Financial Statements'!I42-'Financial Statements'!I37-'Financial Statements'!I52+'Financial Statements'!I49+'Financial Statements'!I48+'Financial Statements'!I53)-('Financial Statements'!H42-'Financial Statements'!H37-'Financial Statements'!H52+'Financial Statements'!H49+'Financial Statements'!H48+'Financial Statements'!H53))/('Financial Statements'!H75-'Financial Statements'!H33)</f>
        <v>3.8431226607903504E-2</v>
      </c>
      <c r="I121" s="39">
        <f>(('Financial Statements'!J42-'Financial Statements'!J37-'Financial Statements'!J52+'Financial Statements'!J49+'Financial Statements'!J48+'Financial Statements'!J53)-('Financial Statements'!I42-'Financial Statements'!I37-'Financial Statements'!I52+'Financial Statements'!I49+'Financial Statements'!I48+'Financial Statements'!I53))/('Financial Statements'!I75-'Financial Statements'!I33)</f>
        <v>3.6963814005720276E-2</v>
      </c>
      <c r="J121" s="39">
        <f>(('Financial Statements'!K42-'Financial Statements'!K37-'Financial Statements'!K52+'Financial Statements'!K49+'Financial Statements'!K48+'Financial Statements'!K53)-('Financial Statements'!J42-'Financial Statements'!J37-'Financial Statements'!J52+'Financial Statements'!J49+'Financial Statements'!J48+'Financial Statements'!J53))/('Financial Statements'!J75-'Financial Statements'!J33)</f>
        <v>3.5496401403536555E-2</v>
      </c>
      <c r="K121" s="39">
        <f>(('Financial Statements'!L42-'Financial Statements'!L37-'Financial Statements'!L52+'Financial Statements'!L49+'Financial Statements'!L48+'Financial Statements'!L53)-('Financial Statements'!K42-'Financial Statements'!K37-'Financial Statements'!K52+'Financial Statements'!K49+'Financial Statements'!K48+'Financial Statements'!K53))/('Financial Statements'!K75-'Financial Statements'!K33)</f>
        <v>3.4028988801353355E-2</v>
      </c>
      <c r="L121" s="39">
        <f>(('Financial Statements'!M42-'Financial Statements'!M37-'Financial Statements'!M52+'Financial Statements'!M49+'Financial Statements'!M48+'Financial Statements'!M53)-('Financial Statements'!L42-'Financial Statements'!L37-'Financial Statements'!L52+'Financial Statements'!L49+'Financial Statements'!L48+'Financial Statements'!L53))/('Financial Statements'!L75-'Financial Statements'!L33)</f>
        <v>3.2561576199169176E-2</v>
      </c>
      <c r="M121" s="39">
        <f>(('Financial Statements'!N42-'Financial Statements'!N37-'Financial Statements'!N52+'Financial Statements'!N49+'Financial Statements'!N48+'Financial Statements'!N53)-('Financial Statements'!M42-'Financial Statements'!M37-'Financial Statements'!M52+'Financial Statements'!M49+'Financial Statements'!M48+'Financial Statements'!M53))/('Financial Statements'!M75-'Financial Statements'!M33)</f>
        <v>3.1094163596986461E-2</v>
      </c>
      <c r="N121" s="39">
        <f>(('Financial Statements'!O42-'Financial Statements'!O37-'Financial Statements'!O52+'Financial Statements'!O49+'Financial Statements'!O48+'Financial Statements'!O53)-('Financial Statements'!N42-'Financial Statements'!N37-'Financial Statements'!N52+'Financial Statements'!N49+'Financial Statements'!N48+'Financial Statements'!N53))/('Financial Statements'!N75-'Financial Statements'!N33)</f>
        <v>2.9626750994803702E-2</v>
      </c>
      <c r="O121" s="39">
        <f>(('Financial Statements'!P42-'Financial Statements'!P37-'Financial Statements'!P52+'Financial Statements'!P49+'Financial Statements'!P48+'Financial Statements'!P53)-('Financial Statements'!O42-'Financial Statements'!O37-'Financial Statements'!O52+'Financial Statements'!O49+'Financial Statements'!O48+'Financial Statements'!O53))/('Financial Statements'!O75-'Financial Statements'!O33)</f>
        <v>2.815933839261953E-2</v>
      </c>
      <c r="P121" s="39">
        <f>(('Financial Statements'!Q42-'Financial Statements'!Q37-'Financial Statements'!Q52+'Financial Statements'!Q49+'Financial Statements'!Q48+'Financial Statements'!Q53)-('Financial Statements'!P42-'Financial Statements'!P37-'Financial Statements'!P52+'Financial Statements'!P49+'Financial Statements'!P48+'Financial Statements'!P53))/('Financial Statements'!P75-'Financial Statements'!P33)</f>
        <v>2.6691925790436211E-2</v>
      </c>
      <c r="Q121" s="39">
        <f>(('Financial Statements'!R42-'Financial Statements'!R37-'Financial Statements'!R52+'Financial Statements'!R49+'Financial Statements'!R48+'Financial Statements'!R53)-('Financial Statements'!Q42-'Financial Statements'!Q37-'Financial Statements'!Q52+'Financial Statements'!Q49+'Financial Statements'!Q48+'Financial Statements'!Q53))/('Financial Statements'!Q75-'Financial Statements'!Q33)</f>
        <v>2.6691925790436243E-2</v>
      </c>
      <c r="R121" s="39"/>
    </row>
    <row r="122" spans="1:18">
      <c r="A122" s="25" t="s">
        <v>40</v>
      </c>
      <c r="B122" s="38">
        <f>('Financial Statements'!C75-'Financial Statements'!C33-'Financial Statements'!B75+'Financial Statements'!B33)/('Financial Statements'!B75-'Financial Statements'!B33)</f>
        <v>-0.11467181246535429</v>
      </c>
      <c r="C122" s="38">
        <f>('Financial Statements'!D75-'Financial Statements'!D33-'Financial Statements'!C75+'Financial Statements'!C33)/('Financial Statements'!C75-'Financial Statements'!C33)</f>
        <v>0.24174790914039671</v>
      </c>
      <c r="D122" s="38">
        <f>('Financial Statements'!E75-'Financial Statements'!E33-'Financial Statements'!D75+'Financial Statements'!D33)/('Financial Statements'!D75-'Financial Statements'!D33)</f>
        <v>8.4037497860715377E-2</v>
      </c>
      <c r="E122" s="38">
        <f>('Financial Statements'!F75-'Financial Statements'!F33-'Financial Statements'!E75+'Financial Statements'!E33)/('Financial Statements'!E75-'Financial Statements'!E33)</f>
        <v>-5.8895856387556865E-2</v>
      </c>
      <c r="F122" s="39">
        <f>('Financial Statements'!G75-'Financial Statements'!G33-'Financial Statements'!F75+'Financial Statements'!F33)/('Financial Statements'!F75-'Financial Statements'!F33)</f>
        <v>4.6492769540545875E-2</v>
      </c>
      <c r="G122" s="39">
        <f>('Financial Statements'!H75-'Financial Statements'!H33-'Financial Statements'!G75+'Financial Statements'!G33)/('Financial Statements'!G75-'Financial Statements'!G33)</f>
        <v>4.484349258649039E-2</v>
      </c>
      <c r="H122" s="39">
        <f>('Financial Statements'!I75-'Financial Statements'!I33-'Financial Statements'!H75+'Financial Statements'!H33)/('Financial Statements'!H75-'Financial Statements'!H33)</f>
        <v>4.3194215632436715E-2</v>
      </c>
      <c r="I122" s="39">
        <f>('Financial Statements'!J75-'Financial Statements'!J33-'Financial Statements'!I75+'Financial Statements'!I33)/('Financial Statements'!I75-'Financial Statements'!I33)</f>
        <v>4.1544938678382139E-2</v>
      </c>
      <c r="J122" s="39">
        <f>('Financial Statements'!K75-'Financial Statements'!K33-'Financial Statements'!J75+'Financial Statements'!J33)/('Financial Statements'!J75-'Financial Statements'!J33)</f>
        <v>3.9895661724327534E-2</v>
      </c>
      <c r="K122" s="39">
        <f>('Financial Statements'!L75-'Financial Statements'!L33-'Financial Statements'!K75+'Financial Statements'!K33)/('Financial Statements'!K75-'Financial Statements'!K33)</f>
        <v>3.8246384770273062E-2</v>
      </c>
      <c r="L122" s="39">
        <f>('Financial Statements'!M75-'Financial Statements'!M33-'Financial Statements'!L75+'Financial Statements'!L33)/('Financial Statements'!L75-'Financial Statements'!L33)</f>
        <v>3.6597107816217479E-2</v>
      </c>
      <c r="M122" s="39">
        <f>('Financial Statements'!N75-'Financial Statements'!N33-'Financial Statements'!M75+'Financial Statements'!M33)/('Financial Statements'!M75-'Financial Statements'!M33)</f>
        <v>3.4947830862163562E-2</v>
      </c>
      <c r="N122" s="39">
        <f>('Financial Statements'!O75-'Financial Statements'!O33-'Financial Statements'!N75+'Financial Statements'!N33)/('Financial Statements'!N75-'Financial Statements'!N33)</f>
        <v>3.3298553908110061E-2</v>
      </c>
      <c r="O122" s="39">
        <f>('Financial Statements'!P75-'Financial Statements'!P33-'Financial Statements'!O75+'Financial Statements'!O33)/('Financial Statements'!O75-'Financial Statements'!O33)</f>
        <v>3.1649276954054256E-2</v>
      </c>
      <c r="P122" s="39">
        <f>('Financial Statements'!Q75-'Financial Statements'!Q33-'Financial Statements'!P75+'Financial Statements'!P33)/('Financial Statements'!P75-'Financial Statements'!P33)</f>
        <v>2.9999999999999527E-2</v>
      </c>
      <c r="Q122" s="39">
        <f>('Financial Statements'!R75-'Financial Statements'!R33-'Financial Statements'!Q75+'Financial Statements'!Q33)/('Financial Statements'!Q75-'Financial Statements'!Q33)</f>
        <v>3.0000000000000179E-2</v>
      </c>
      <c r="R122" s="39"/>
    </row>
    <row r="123" spans="1:18">
      <c r="A123" s="25"/>
      <c r="B123" s="38"/>
      <c r="C123" s="38"/>
      <c r="D123" s="38"/>
      <c r="E123" s="38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</row>
    <row r="124" spans="1:18">
      <c r="A124" s="25" t="s">
        <v>512</v>
      </c>
      <c r="B124" s="38">
        <f>'Ratio Analysis'!C10</f>
        <v>0.15982184141623734</v>
      </c>
      <c r="C124" s="38">
        <f>'Ratio Analysis'!D10</f>
        <v>5.9800501589533317E-2</v>
      </c>
      <c r="D124" s="38">
        <f>'Ratio Analysis'!E10</f>
        <v>-5.1435818983115444E-3</v>
      </c>
      <c r="E124" s="38">
        <f>'Ratio Analysis'!F10</f>
        <v>4.8142046494600077E-2</v>
      </c>
      <c r="F124" s="39">
        <f>'Ratio Analysis'!G10</f>
        <v>4.6492769540545487E-2</v>
      </c>
      <c r="G124" s="39">
        <f>'Ratio Analysis'!H10</f>
        <v>4.4843492586490896E-2</v>
      </c>
      <c r="H124" s="39">
        <f>'Ratio Analysis'!I10</f>
        <v>4.3194215632436528E-2</v>
      </c>
      <c r="I124" s="39">
        <f>'Ratio Analysis'!J10</f>
        <v>4.1544938678381937E-2</v>
      </c>
      <c r="J124" s="39">
        <f>'Ratio Analysis'!K10</f>
        <v>3.9895661724327347E-2</v>
      </c>
      <c r="K124" s="39">
        <f>'Ratio Analysis'!L10</f>
        <v>3.8246384770272757E-2</v>
      </c>
      <c r="L124" s="39">
        <f>'Ratio Analysis'!M10</f>
        <v>3.6597107816218166E-2</v>
      </c>
      <c r="M124" s="39">
        <f>'Ratio Analysis'!N10</f>
        <v>3.4947830862163576E-2</v>
      </c>
      <c r="N124" s="39">
        <f>'Ratio Analysis'!O10</f>
        <v>3.3298553908109207E-2</v>
      </c>
      <c r="O124" s="39">
        <f>'Ratio Analysis'!P10</f>
        <v>3.1649276954054617E-2</v>
      </c>
      <c r="P124" s="39">
        <f>'Ratio Analysis'!Q10</f>
        <v>3.0000000000000027E-2</v>
      </c>
      <c r="Q124" s="39">
        <f>'Ratio Analysis'!R10</f>
        <v>3.0000000000000027E-2</v>
      </c>
      <c r="R124" s="39"/>
    </row>
    <row r="125" spans="1:18">
      <c r="A125" s="25" t="s">
        <v>368</v>
      </c>
      <c r="B125" s="38">
        <f>-(('Financial Statements'!C12/('Financial Statements'!C57+'Financial Statements'!C54+'Financial Statements'!C49+'Financial Statements'!C44+'Financial Statements'!C53-'Financial Statements'!C33))-('Financial Statements'!B12/('Financial Statements'!B57+'Financial Statements'!B54+'Financial Statements'!B49+'Financial Statements'!B44+'Financial Statements'!B53-'Financial Statements'!B33)))/('Financial Statements'!C12/('Financial Statements'!B57+'Financial Statements'!B54+'Financial Statements'!B49+'Financial Statements'!B44+'Financial Statements'!B53-'Financial Statements'!B33))</f>
        <v>-0.26732325068912377</v>
      </c>
      <c r="C125" s="38">
        <f>-(('Financial Statements'!D12/('Financial Statements'!D57+'Financial Statements'!D54+'Financial Statements'!D49+'Financial Statements'!D44+'Financial Statements'!D53-'Financial Statements'!D33))-('Financial Statements'!C12/('Financial Statements'!C57+'Financial Statements'!C54+'Financial Statements'!C49+'Financial Statements'!C44+'Financial Statements'!C53-'Financial Statements'!C33)))/('Financial Statements'!D12/('Financial Statements'!C57+'Financial Statements'!C54+'Financial Statements'!C49+'Financial Statements'!C44+'Financial Statements'!C53-'Financial Statements'!C33))</f>
        <v>0.13825737719571687</v>
      </c>
      <c r="D125" s="38">
        <f>-(('Financial Statements'!E12/('Financial Statements'!E57+'Financial Statements'!E54+'Financial Statements'!E49+'Financial Statements'!E44+'Financial Statements'!E53-'Financial Statements'!E33))-('Financial Statements'!D12/('Financial Statements'!D57+'Financial Statements'!D54+'Financial Statements'!D49+'Financial Statements'!D44+'Financial Statements'!D53-'Financial Statements'!D33)))/('Financial Statements'!E12/('Financial Statements'!D57+'Financial Statements'!D54+'Financial Statements'!D49+'Financial Statements'!D44+'Financial Statements'!D53-'Financial Statements'!D33))</f>
        <v>8.2692860473414023E-2</v>
      </c>
      <c r="E125" s="38">
        <f>-(('Financial Statements'!F12/('Financial Statements'!F57+'Financial Statements'!F54+'Financial Statements'!F49+'Financial Statements'!F44+'Financial Statements'!F53-'Financial Statements'!F33))-('Financial Statements'!E12/('Financial Statements'!E57+'Financial Statements'!E54+'Financial Statements'!E49+'Financial Statements'!E44+'Financial Statements'!E53-'Financial Statements'!E33)))/('Financial Statements'!F12/('Financial Statements'!E57+'Financial Statements'!E54+'Financial Statements'!E49+'Financial Statements'!E44+'Financial Statements'!E53-'Financial Statements'!E33))</f>
        <v>-0.10851249842448031</v>
      </c>
      <c r="F125" s="39">
        <f>-(('Financial Statements'!G12/('Financial Statements'!G57+'Financial Statements'!G54+'Financial Statements'!G49+'Financial Statements'!G44+'Financial Statements'!G53-'Financial Statements'!G33))-('Financial Statements'!F12/('Financial Statements'!F57+'Financial Statements'!F54+'Financial Statements'!F49+'Financial Statements'!F44+'Financial Statements'!F53-'Financial Statements'!F33)))/('Financial Statements'!F12/('Financial Statements'!F57+'Financial Statements'!F54+'Financial Statements'!F49+'Financial Statements'!F44+'Financial Statements'!F53-'Financial Statements'!F33))</f>
        <v>1.9787279148867032E-16</v>
      </c>
      <c r="G125" s="39">
        <f>-(('Financial Statements'!H12/('Financial Statements'!H57+'Financial Statements'!H54+'Financial Statements'!H49+'Financial Statements'!H44+'Financial Statements'!H53-'Financial Statements'!H33))-('Financial Statements'!G12/('Financial Statements'!G57+'Financial Statements'!G54+'Financial Statements'!G49+'Financial Statements'!G44+'Financial Statements'!G53-'Financial Statements'!G33)))/('Financial Statements'!G12/('Financial Statements'!G57+'Financial Statements'!G54+'Financial Statements'!G49+'Financial Statements'!G44+'Financial Statements'!G53-'Financial Statements'!G33))</f>
        <v>-1.9787279148867037E-16</v>
      </c>
      <c r="H125" s="39">
        <f>-(('Financial Statements'!I12/('Financial Statements'!I57+'Financial Statements'!I54+'Financial Statements'!I49+'Financial Statements'!I44+'Financial Statements'!I53-'Financial Statements'!I33))-('Financial Statements'!H12/('Financial Statements'!H57+'Financial Statements'!H54+'Financial Statements'!H49+'Financial Statements'!H44+'Financial Statements'!H53-'Financial Statements'!H33)))/('Financial Statements'!H12/('Financial Statements'!H57+'Financial Statements'!H54+'Financial Statements'!H49+'Financial Statements'!H44+'Financial Statements'!H53-'Financial Statements'!H33))</f>
        <v>0</v>
      </c>
      <c r="I125" s="39">
        <f>-(('Financial Statements'!J12/('Financial Statements'!J57+'Financial Statements'!J54+'Financial Statements'!J49+'Financial Statements'!J44+'Financial Statements'!J53-'Financial Statements'!J33))-('Financial Statements'!I12/('Financial Statements'!I57+'Financial Statements'!I54+'Financial Statements'!I49+'Financial Statements'!I44+'Financial Statements'!I53-'Financial Statements'!I33)))/('Financial Statements'!I12/('Financial Statements'!I57+'Financial Statements'!I54+'Financial Statements'!I49+'Financial Statements'!I44+'Financial Statements'!I53-'Financial Statements'!I33))</f>
        <v>1.9787279148867032E-16</v>
      </c>
      <c r="J125" s="39">
        <f>-(('Financial Statements'!K12/('Financial Statements'!K57+'Financial Statements'!K54+'Financial Statements'!K49+'Financial Statements'!K44+'Financial Statements'!K53-'Financial Statements'!K33))-('Financial Statements'!J12/('Financial Statements'!J57+'Financial Statements'!J54+'Financial Statements'!J49+'Financial Statements'!J44+'Financial Statements'!J53-'Financial Statements'!J33)))/('Financial Statements'!J12/('Financial Statements'!J57+'Financial Statements'!J54+'Financial Statements'!J49+'Financial Statements'!J44+'Financial Statements'!J53-'Financial Statements'!J33))</f>
        <v>1.9787279148867037E-16</v>
      </c>
      <c r="K125" s="39">
        <f>-(('Financial Statements'!L12/('Financial Statements'!L57+'Financial Statements'!L54+'Financial Statements'!L49+'Financial Statements'!L44+'Financial Statements'!L53-'Financial Statements'!L33))-('Financial Statements'!K12/('Financial Statements'!K57+'Financial Statements'!K54+'Financial Statements'!K49+'Financial Statements'!K44+'Financial Statements'!K53-'Financial Statements'!K33)))/('Financial Statements'!K12/('Financial Statements'!K57+'Financial Statements'!K54+'Financial Statements'!K49+'Financial Statements'!K44+'Financial Statements'!K53-'Financial Statements'!K33))</f>
        <v>-3.957455829773408E-16</v>
      </c>
      <c r="L125" s="39">
        <f>-(('Financial Statements'!M12/('Financial Statements'!M57+'Financial Statements'!M54+'Financial Statements'!M49+'Financial Statements'!M44+'Financial Statements'!M53-'Financial Statements'!M33))-('Financial Statements'!L12/('Financial Statements'!L57+'Financial Statements'!L54+'Financial Statements'!L49+'Financial Statements'!L44+'Financial Statements'!L53-'Financial Statements'!L33)))/('Financial Statements'!L12/('Financial Statements'!L57+'Financial Statements'!L54+'Financial Statements'!L49+'Financial Statements'!L44+'Financial Statements'!L53-'Financial Statements'!L33))</f>
        <v>-1.9787279148867032E-16</v>
      </c>
      <c r="M125" s="39">
        <f>-(('Financial Statements'!N12/('Financial Statements'!N57+'Financial Statements'!N54+'Financial Statements'!N49+'Financial Statements'!N44+'Financial Statements'!N53-'Financial Statements'!N33))-('Financial Statements'!M12/('Financial Statements'!M57+'Financial Statements'!M54+'Financial Statements'!M49+'Financial Statements'!M44+'Financial Statements'!M53-'Financial Statements'!M33)))/('Financial Statements'!M12/('Financial Statements'!M57+'Financial Statements'!M54+'Financial Statements'!M49+'Financial Statements'!M44+'Financial Statements'!M53-'Financial Statements'!M33))</f>
        <v>0</v>
      </c>
      <c r="N125" s="39">
        <f>-(('Financial Statements'!O12/('Financial Statements'!O57+'Financial Statements'!O54+'Financial Statements'!O49+'Financial Statements'!O44+'Financial Statements'!O53-'Financial Statements'!O33))-('Financial Statements'!N12/('Financial Statements'!N57+'Financial Statements'!N54+'Financial Statements'!N49+'Financial Statements'!N44+'Financial Statements'!N53-'Financial Statements'!N33)))/('Financial Statements'!N12/('Financial Statements'!N57+'Financial Statements'!N54+'Financial Statements'!N49+'Financial Statements'!N44+'Financial Statements'!N53-'Financial Statements'!N33))</f>
        <v>7.914911659546812E-16</v>
      </c>
      <c r="O125" s="39">
        <f>-(('Financial Statements'!P12/('Financial Statements'!P57+'Financial Statements'!P54+'Financial Statements'!P49+'Financial Statements'!P44+'Financial Statements'!P53-'Financial Statements'!P33))-('Financial Statements'!O12/('Financial Statements'!O57+'Financial Statements'!O54+'Financial Statements'!O49+'Financial Statements'!O44+'Financial Statements'!O53-'Financial Statements'!O33)))/('Financial Statements'!O12/('Financial Statements'!O57+'Financial Statements'!O54+'Financial Statements'!O49+'Financial Statements'!O44+'Financial Statements'!O53-'Financial Statements'!O33))</f>
        <v>-3.957455829773409E-16</v>
      </c>
      <c r="P125" s="39">
        <f>-(('Financial Statements'!Q12/('Financial Statements'!Q57+'Financial Statements'!Q54+'Financial Statements'!Q49+'Financial Statements'!Q44+'Financial Statements'!Q53-'Financial Statements'!Q33))-('Financial Statements'!P12/('Financial Statements'!P57+'Financial Statements'!P54+'Financial Statements'!P49+'Financial Statements'!P44+'Financial Statements'!P53-'Financial Statements'!P33)))/('Financial Statements'!P12/('Financial Statements'!P57+'Financial Statements'!P54+'Financial Statements'!P49+'Financial Statements'!P44+'Financial Statements'!P53-'Financial Statements'!P33))</f>
        <v>-3.9574558297734075E-16</v>
      </c>
      <c r="Q125" s="39">
        <f>-(('Financial Statements'!R12/('Financial Statements'!R57+'Financial Statements'!R54+'Financial Statements'!R49+'Financial Statements'!R44+'Financial Statements'!R53-'Financial Statements'!R33))-('Financial Statements'!Q12/('Financial Statements'!Q57+'Financial Statements'!Q54+'Financial Statements'!Q49+'Financial Statements'!Q44+'Financial Statements'!Q53-'Financial Statements'!Q33)))/('Financial Statements'!Q12/('Financial Statements'!Q57+'Financial Statements'!Q54+'Financial Statements'!Q49+'Financial Statements'!Q44+'Financial Statements'!Q53-'Financial Statements'!Q33))</f>
        <v>1.978727914886703E-16</v>
      </c>
      <c r="R125" s="39"/>
    </row>
    <row r="126" spans="1:18">
      <c r="A126" s="25" t="s">
        <v>511</v>
      </c>
      <c r="B126" s="38">
        <f>B124*B125</f>
        <v>-4.2724094178510197E-2</v>
      </c>
      <c r="C126" s="38">
        <f t="shared" ref="C126:Q126" si="24">C124*C125</f>
        <v>8.2678605047571737E-3</v>
      </c>
      <c r="D126" s="38">
        <f t="shared" si="24"/>
        <v>-4.2533750025065456E-4</v>
      </c>
      <c r="E126" s="38">
        <f t="shared" si="24"/>
        <v>-5.2240137443965483E-3</v>
      </c>
      <c r="F126" s="39">
        <f t="shared" si="24"/>
        <v>9.19965409302716E-18</v>
      </c>
      <c r="G126" s="39">
        <f t="shared" si="24"/>
        <v>-8.8733070581904495E-18</v>
      </c>
      <c r="H126" s="39">
        <f t="shared" si="24"/>
        <v>0</v>
      </c>
      <c r="I126" s="39">
        <f t="shared" si="24"/>
        <v>8.2206129885170639E-18</v>
      </c>
      <c r="J126" s="39">
        <f t="shared" si="24"/>
        <v>7.8942659536803534E-18</v>
      </c>
      <c r="K126" s="39">
        <f t="shared" si="24"/>
        <v>-1.513583783768728E-17</v>
      </c>
      <c r="L126" s="39">
        <f t="shared" si="24"/>
        <v>-7.2415718840069246E-18</v>
      </c>
      <c r="M126" s="39">
        <f t="shared" si="24"/>
        <v>0</v>
      </c>
      <c r="N126" s="39">
        <f t="shared" si="24"/>
        <v>2.6355511257334162E-17</v>
      </c>
      <c r="O126" s="39">
        <f t="shared" si="24"/>
        <v>-1.2525061558993665E-17</v>
      </c>
      <c r="P126" s="39">
        <f t="shared" si="24"/>
        <v>-1.1872367489320233E-17</v>
      </c>
      <c r="Q126" s="39">
        <f t="shared" si="24"/>
        <v>5.9361837446601141E-18</v>
      </c>
      <c r="R126" s="39"/>
    </row>
    <row r="127" spans="1:18">
      <c r="A127" s="25" t="s">
        <v>40</v>
      </c>
      <c r="B127" s="38">
        <f>B124+B125+B126</f>
        <v>-0.15022550345139662</v>
      </c>
      <c r="C127" s="38">
        <f t="shared" ref="C127:Q127" si="25">C124+C125+C126</f>
        <v>0.20632573929000736</v>
      </c>
      <c r="D127" s="38">
        <f t="shared" si="25"/>
        <v>7.7123941074851821E-2</v>
      </c>
      <c r="E127" s="38">
        <f t="shared" si="25"/>
        <v>-6.5594465674276778E-2</v>
      </c>
      <c r="F127" s="39">
        <f t="shared" si="25"/>
        <v>4.6492769540545695E-2</v>
      </c>
      <c r="G127" s="39">
        <f t="shared" si="25"/>
        <v>4.4843492586490688E-2</v>
      </c>
      <c r="H127" s="39">
        <f t="shared" si="25"/>
        <v>4.3194215632436528E-2</v>
      </c>
      <c r="I127" s="39">
        <f t="shared" si="25"/>
        <v>4.1544938678382146E-2</v>
      </c>
      <c r="J127" s="39">
        <f t="shared" si="25"/>
        <v>3.9895661724327555E-2</v>
      </c>
      <c r="K127" s="39">
        <f t="shared" si="25"/>
        <v>3.8246384770272347E-2</v>
      </c>
      <c r="L127" s="39">
        <f t="shared" si="25"/>
        <v>3.6597107816217958E-2</v>
      </c>
      <c r="M127" s="39">
        <f t="shared" si="25"/>
        <v>3.4947830862163576E-2</v>
      </c>
      <c r="N127" s="39">
        <f t="shared" si="25"/>
        <v>3.3298553908110026E-2</v>
      </c>
      <c r="O127" s="39">
        <f t="shared" si="25"/>
        <v>3.1649276954054208E-2</v>
      </c>
      <c r="P127" s="39">
        <f t="shared" si="25"/>
        <v>2.9999999999999621E-2</v>
      </c>
      <c r="Q127" s="39">
        <f t="shared" si="25"/>
        <v>3.0000000000000231E-2</v>
      </c>
      <c r="R127" s="39"/>
    </row>
    <row r="128" spans="1:18" s="224" customFormat="1">
      <c r="A128" s="222" t="s">
        <v>127</v>
      </c>
      <c r="B128" s="223">
        <f>IF(MONTH(B7)&gt;6,YEAR(B7),YEAR(B7)-1)</f>
        <v>2006</v>
      </c>
      <c r="C128" s="223">
        <f>IF(MONTH(C7)&gt;6,YEAR(C7),YEAR(C7)-1)</f>
        <v>2007</v>
      </c>
      <c r="D128" s="223">
        <f>IF(MONTH(D7)&gt;6,YEAR(D7),YEAR(D7)-1)</f>
        <v>2008</v>
      </c>
      <c r="E128" s="223">
        <f>IF(MONTH(E7)&gt;6,YEAR(E7),YEAR(E7)-1)</f>
        <v>2009</v>
      </c>
      <c r="F128" s="224">
        <f>IF(MONTH(F7)&gt;6,YEAR(F7),YEAR(F7)-1)</f>
        <v>2010</v>
      </c>
      <c r="G128" s="224">
        <f t="shared" ref="G128:Q128" si="26">IF(MONTH(G7)&gt;6,YEAR(G7),YEAR(G7)-1)</f>
        <v>2011</v>
      </c>
      <c r="H128" s="224">
        <f t="shared" si="26"/>
        <v>2012</v>
      </c>
      <c r="I128" s="224">
        <f t="shared" si="26"/>
        <v>2013</v>
      </c>
      <c r="J128" s="224">
        <f t="shared" si="26"/>
        <v>2014</v>
      </c>
      <c r="K128" s="224">
        <f t="shared" si="26"/>
        <v>2015</v>
      </c>
      <c r="L128" s="224">
        <f t="shared" si="26"/>
        <v>2016</v>
      </c>
      <c r="M128" s="224">
        <f t="shared" si="26"/>
        <v>2017</v>
      </c>
      <c r="N128" s="224">
        <f t="shared" si="26"/>
        <v>2018</v>
      </c>
      <c r="O128" s="224">
        <f t="shared" si="26"/>
        <v>2019</v>
      </c>
      <c r="P128" s="224">
        <f t="shared" si="26"/>
        <v>2020</v>
      </c>
      <c r="Q128" s="224">
        <f t="shared" si="26"/>
        <v>2021</v>
      </c>
    </row>
    <row r="130" spans="2:3">
      <c r="B130" s="4"/>
      <c r="C130" s="24"/>
    </row>
  </sheetData>
  <mergeCells count="2">
    <mergeCell ref="A48:B48"/>
    <mergeCell ref="A72:B72"/>
  </mergeCells>
  <phoneticPr fontId="0" type="noConversion"/>
  <conditionalFormatting sqref="B123:R123">
    <cfRule type="cellIs" dxfId="9" priority="2" stopIfTrue="1" operator="greaterThan">
      <formula>0.09</formula>
    </cfRule>
  </conditionalFormatting>
  <conditionalFormatting sqref="B120:R120">
    <cfRule type="cellIs" dxfId="8" priority="3" stopIfTrue="1" operator="greaterThan">
      <formula>0.11</formula>
    </cfRule>
  </conditionalFormatting>
  <conditionalFormatting sqref="B121:R121">
    <cfRule type="cellIs" dxfId="7" priority="4" stopIfTrue="1" operator="greaterThan">
      <formula>0.14</formula>
    </cfRule>
  </conditionalFormatting>
  <conditionalFormatting sqref="B122:R122 B127:R127">
    <cfRule type="cellIs" dxfId="6" priority="5" stopIfTrue="1" operator="greaterThan">
      <formula>0.38</formula>
    </cfRule>
  </conditionalFormatting>
  <conditionalFormatting sqref="B124:R124">
    <cfRule type="cellIs" dxfId="5" priority="6" stopIfTrue="1" operator="greaterThan">
      <formula>0.39</formula>
    </cfRule>
  </conditionalFormatting>
  <conditionalFormatting sqref="R125">
    <cfRule type="cellIs" dxfId="4" priority="7" stopIfTrue="1" operator="greaterThan">
      <formula>0.2</formula>
    </cfRule>
  </conditionalFormatting>
  <conditionalFormatting sqref="F126:R126">
    <cfRule type="cellIs" dxfId="3" priority="8" stopIfTrue="1" operator="greaterThan">
      <formula>0.07</formula>
    </cfRule>
  </conditionalFormatting>
  <conditionalFormatting sqref="B125">
    <cfRule type="cellIs" dxfId="2" priority="9" stopIfTrue="1" operator="greaterThan">
      <formula>0.21</formula>
    </cfRule>
  </conditionalFormatting>
  <conditionalFormatting sqref="F125:Q125">
    <cfRule type="cellIs" dxfId="1" priority="10" stopIfTrue="1" operator="greaterThan">
      <formula>0.21</formula>
    </cfRule>
  </conditionalFormatting>
  <conditionalFormatting sqref="C125:E125">
    <cfRule type="cellIs" dxfId="0" priority="1" stopIfTrue="1" operator="greaterThan">
      <formula>0.21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1"/>
  <sheetViews>
    <sheetView zoomScale="125" workbookViewId="0">
      <pane xSplit="1" ySplit="7" topLeftCell="B8" activePane="bottomRight" state="frozenSplit"/>
      <selection pane="topRight" activeCell="E1" sqref="E1"/>
      <selection pane="bottomLeft" activeCell="A13" sqref="A13"/>
      <selection pane="bottomRight"/>
    </sheetView>
  </sheetViews>
  <sheetFormatPr baseColWidth="10" defaultColWidth="8.83203125" defaultRowHeight="13"/>
  <cols>
    <col min="1" max="1" width="29.5" customWidth="1"/>
    <col min="2" max="18" width="10.6640625" customWidth="1"/>
  </cols>
  <sheetData>
    <row r="1" spans="1:18" s="59" customFormat="1" ht="18">
      <c r="A1" s="175" t="s">
        <v>300</v>
      </c>
      <c r="B1" s="176"/>
      <c r="C1" s="176"/>
      <c r="D1" s="176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</row>
    <row r="2" spans="1:18" ht="18" customHeight="1">
      <c r="A2" s="178"/>
      <c r="B2" s="178"/>
      <c r="C2" s="178"/>
      <c r="D2" s="178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</row>
    <row r="3" spans="1:18" ht="12.75" customHeight="1">
      <c r="A3" s="166" t="s">
        <v>228</v>
      </c>
      <c r="B3" s="166"/>
      <c r="C3" s="166"/>
      <c r="D3" s="166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</row>
    <row r="4" spans="1:18">
      <c r="A4" s="1" t="s">
        <v>412</v>
      </c>
      <c r="B4" s="13" t="str">
        <f>'Financial Statements'!B4</f>
        <v>KOHL'S CORP</v>
      </c>
      <c r="C4" s="1"/>
      <c r="D4" s="1"/>
      <c r="E4" s="3"/>
      <c r="L4" s="57"/>
    </row>
    <row r="5" spans="1:18">
      <c r="A5" s="1"/>
      <c r="B5" s="1"/>
      <c r="C5" s="1"/>
      <c r="D5" s="1"/>
      <c r="L5" s="57"/>
    </row>
    <row r="6" spans="1:18">
      <c r="A6" s="1"/>
      <c r="B6" s="15" t="s">
        <v>535</v>
      </c>
      <c r="C6" s="15" t="s">
        <v>535</v>
      </c>
      <c r="D6" s="15" t="s">
        <v>535</v>
      </c>
      <c r="E6" s="15" t="s">
        <v>535</v>
      </c>
      <c r="F6" s="15" t="s">
        <v>535</v>
      </c>
      <c r="G6" s="2" t="s">
        <v>536</v>
      </c>
      <c r="H6" s="2" t="s">
        <v>536</v>
      </c>
      <c r="I6" s="2" t="s">
        <v>536</v>
      </c>
      <c r="J6" s="2" t="s">
        <v>536</v>
      </c>
      <c r="K6" s="2" t="s">
        <v>536</v>
      </c>
      <c r="L6" s="2" t="s">
        <v>536</v>
      </c>
      <c r="M6" s="2" t="s">
        <v>536</v>
      </c>
      <c r="N6" s="2" t="s">
        <v>536</v>
      </c>
      <c r="O6" s="2" t="s">
        <v>536</v>
      </c>
      <c r="P6" s="2" t="s">
        <v>536</v>
      </c>
      <c r="Q6" s="2" t="s">
        <v>536</v>
      </c>
      <c r="R6" s="2" t="s">
        <v>536</v>
      </c>
    </row>
    <row r="7" spans="1:18" ht="14" thickBot="1">
      <c r="A7" s="1" t="s">
        <v>534</v>
      </c>
      <c r="B7" s="258">
        <f>'Financial Statements'!B8</f>
        <v>37286</v>
      </c>
      <c r="C7" s="258">
        <f>'Financial Statements'!C8</f>
        <v>37651</v>
      </c>
      <c r="D7" s="258">
        <f>'Financial Statements'!D8</f>
        <v>38016</v>
      </c>
      <c r="E7" s="258">
        <f>'Financial Statements'!E8</f>
        <v>38382</v>
      </c>
      <c r="F7" s="258">
        <f>'Financial Statements'!F8</f>
        <v>38747</v>
      </c>
      <c r="G7" s="259">
        <f>'Financial Statements'!G8</f>
        <v>39112</v>
      </c>
      <c r="H7" s="259">
        <f>'Financial Statements'!H8</f>
        <v>39477</v>
      </c>
      <c r="I7" s="259">
        <f>'Financial Statements'!I8</f>
        <v>39843</v>
      </c>
      <c r="J7" s="259">
        <f>'Financial Statements'!J8</f>
        <v>40208</v>
      </c>
      <c r="K7" s="259">
        <f>'Financial Statements'!K8</f>
        <v>40573</v>
      </c>
      <c r="L7" s="259">
        <f>'Financial Statements'!L8</f>
        <v>40938</v>
      </c>
      <c r="M7" s="259">
        <f>'Financial Statements'!M8</f>
        <v>41304</v>
      </c>
      <c r="N7" s="259">
        <f>'Financial Statements'!N8</f>
        <v>41669</v>
      </c>
      <c r="O7" s="259">
        <f>'Financial Statements'!O8</f>
        <v>42034</v>
      </c>
      <c r="P7" s="259">
        <f>'Financial Statements'!P8</f>
        <v>42399</v>
      </c>
      <c r="Q7" s="259">
        <f>'Financial Statements'!Q8</f>
        <v>42765</v>
      </c>
      <c r="R7" s="259">
        <f>'Financial Statements'!R8</f>
        <v>43130</v>
      </c>
    </row>
    <row r="9" spans="1:18">
      <c r="A9" s="76" t="s">
        <v>474</v>
      </c>
      <c r="B9" s="36"/>
      <c r="C9" s="36"/>
      <c r="D9" s="36"/>
      <c r="E9" s="38"/>
      <c r="F9" s="38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>
      <c r="A10" s="226" t="s">
        <v>347</v>
      </c>
      <c r="B10" s="36"/>
      <c r="C10" s="36"/>
      <c r="D10" s="36"/>
      <c r="E10" s="38"/>
      <c r="F10" s="38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>
      <c r="A11" t="s">
        <v>460</v>
      </c>
      <c r="B11" s="38">
        <f>('Financial Statements'!B44+'Financial Statements'!B49)/('Financial Statements'!B57)</f>
        <v>0.19371823455375539</v>
      </c>
      <c r="C11" s="38">
        <f>('Financial Statements'!C44+'Financial Statements'!C49)/('Financial Statements'!C57)</f>
        <v>0.18897436286394229</v>
      </c>
      <c r="D11" s="38">
        <f>('Financial Statements'!D44+'Financial Statements'!D49)/('Financial Statements'!D57)</f>
        <v>0.33836616377696155</v>
      </c>
      <c r="E11" s="38">
        <f>('Financial Statements'!E44+'Financial Statements'!E49)/('Financial Statements'!E57)</f>
        <v>0.30716723549488056</v>
      </c>
      <c r="F11" s="38">
        <f>('Financial Statements'!F44+'Financial Statements'!F49)/('Financial Statements'!F57)</f>
        <v>0.26333885139437158</v>
      </c>
      <c r="G11" s="39">
        <f>('Financial Statements'!G44+'Financial Statements'!G49)/('Financial Statements'!G57)</f>
        <v>0.26333885139437152</v>
      </c>
      <c r="H11" s="39">
        <f>('Financial Statements'!H44+'Financial Statements'!H49)/('Financial Statements'!H57)</f>
        <v>0.26333885139437158</v>
      </c>
      <c r="I11" s="39">
        <f>('Financial Statements'!I44+'Financial Statements'!I49)/('Financial Statements'!I57)</f>
        <v>0.26333885139437163</v>
      </c>
      <c r="J11" s="39">
        <f>('Financial Statements'!J44+'Financial Statements'!J49)/('Financial Statements'!J57)</f>
        <v>0.26333885139437158</v>
      </c>
      <c r="K11" s="39">
        <f>('Financial Statements'!K44+'Financial Statements'!K49)/('Financial Statements'!K57)</f>
        <v>0.26333885139437152</v>
      </c>
      <c r="L11" s="39">
        <f>('Financial Statements'!L44+'Financial Statements'!L49)/('Financial Statements'!L57)</f>
        <v>0.26333885139437158</v>
      </c>
      <c r="M11" s="39">
        <f>('Financial Statements'!M44+'Financial Statements'!M49)/('Financial Statements'!M57)</f>
        <v>0.26333885139437158</v>
      </c>
      <c r="N11" s="39">
        <f>('Financial Statements'!N44+'Financial Statements'!N49)/('Financial Statements'!N57)</f>
        <v>0.26333885139437158</v>
      </c>
      <c r="O11" s="39">
        <f>('Financial Statements'!O44+'Financial Statements'!O49)/('Financial Statements'!O57)</f>
        <v>0.26333885139437158</v>
      </c>
      <c r="P11" s="39">
        <f>('Financial Statements'!P44+'Financial Statements'!P49)/('Financial Statements'!P57)</f>
        <v>0.26333885139437158</v>
      </c>
      <c r="Q11" s="39">
        <f>('Financial Statements'!Q44+'Financial Statements'!Q49)/('Financial Statements'!Q57)</f>
        <v>0.26333885139437163</v>
      </c>
      <c r="R11" s="39">
        <f>('Financial Statements'!R44+'Financial Statements'!R49)/('Financial Statements'!R57)</f>
        <v>0.26333885139437152</v>
      </c>
    </row>
    <row r="12" spans="1:18">
      <c r="A12" t="s">
        <v>378</v>
      </c>
      <c r="B12" s="38"/>
      <c r="C12" s="38">
        <f>'Cash Flow Analysis'!B17/(('Financial Statements'!C44+'Financial Statements'!C49+'Financial Statements'!B44+'Financial Statements'!B49)/2)</f>
        <v>1.4209864420366904</v>
      </c>
      <c r="D12" s="38">
        <f>'Cash Flow Analysis'!C17/(('Financial Statements'!D44+'Financial Statements'!D49+'Financial Statements'!C44+'Financial Statements'!C49)/2)</f>
        <v>1.0834634768850329</v>
      </c>
      <c r="E12" s="38">
        <f>'Cash Flow Analysis'!D17/(('Financial Statements'!E44+'Financial Statements'!E49+'Financial Statements'!D44+'Financial Statements'!D49)/2)</f>
        <v>0.73421990549937877</v>
      </c>
      <c r="F12" s="38">
        <f>'Cash Flow Analysis'!E17/(('Financial Statements'!F44+'Financial Statements'!F49+'Financial Statements'!E44+'Financial Statements'!E49)/2)</f>
        <v>0.83083615273078781</v>
      </c>
      <c r="G12" s="39">
        <f>'Cash Flow Analysis'!F17/(('Financial Statements'!G44+'Financial Statements'!G49+'Financial Statements'!F44+'Financial Statements'!F49)/2)</f>
        <v>0.79958999757960003</v>
      </c>
      <c r="H12" s="39">
        <f>'Cash Flow Analysis'!G17/(('Financial Statements'!H44+'Financial Statements'!H49+'Financial Statements'!G44+'Financial Statements'!G49)/2)</f>
        <v>0.79838065967062977</v>
      </c>
      <c r="I12" s="39">
        <f>'Cash Flow Analysis'!H17/(('Financial Statements'!I44+'Financial Statements'!I49+'Financial Statements'!H44+'Financial Statements'!H49)/2)</f>
        <v>0.79716936939401117</v>
      </c>
      <c r="J12" s="39">
        <f>'Cash Flow Analysis'!I17/(('Financial Statements'!J44+'Financial Statements'!J49+'Financial Statements'!I44+'Financial Statements'!I49)/2)</f>
        <v>0.79595612201804111</v>
      </c>
      <c r="K12" s="39">
        <f>'Cash Flow Analysis'!J17/(('Financial Statements'!K44+'Financial Statements'!K49+'Financial Statements'!J44+'Financial Statements'!J49)/2)</f>
        <v>0.79474091279571291</v>
      </c>
      <c r="L12" s="39">
        <f>'Cash Flow Analysis'!K17/(('Financial Statements'!L44+'Financial Statements'!L49+'Financial Statements'!K44+'Financial Statements'!K49)/2)</f>
        <v>0.79352373696465739</v>
      </c>
      <c r="M12" s="39">
        <f>'Cash Flow Analysis'!L17/(('Financial Statements'!M44+'Financial Statements'!M49+'Financial Statements'!L44+'Financial Statements'!L49)/2)</f>
        <v>0.79230458974707763</v>
      </c>
      <c r="N12" s="39">
        <f>'Cash Flow Analysis'!M17/(('Financial Statements'!N44+'Financial Statements'!N49+'Financial Statements'!M44+'Financial Statements'!M49)/2)</f>
        <v>0.79108346634968696</v>
      </c>
      <c r="O12" s="39">
        <f>'Cash Flow Analysis'!N17/(('Financial Statements'!O44+'Financial Statements'!O49+'Financial Statements'!N44+'Financial Statements'!N49)/2)</f>
        <v>0.78986036196364773</v>
      </c>
      <c r="P12" s="39">
        <f>'Cash Flow Analysis'!O17/(('Financial Statements'!P44+'Financial Statements'!P49+'Financial Statements'!O44+'Financial Statements'!O49)/2)</f>
        <v>0.78863527176450621</v>
      </c>
      <c r="Q12" s="39">
        <f>'Cash Flow Analysis'!P17/(('Financial Statements'!Q44+'Financial Statements'!Q49+'Financial Statements'!P44+'Financial Statements'!P49)/2)</f>
        <v>0.78740819091213154</v>
      </c>
      <c r="R12" s="39">
        <f>'Cash Flow Analysis'!Q17/(('Financial Statements'!R44+'Financial Statements'!R49+'Financial Statements'!Q44+'Financial Statements'!Q49)/2)</f>
        <v>0.78740819091213166</v>
      </c>
    </row>
    <row r="13" spans="1:18">
      <c r="A13" t="s">
        <v>379</v>
      </c>
      <c r="B13" s="38"/>
      <c r="C13" s="38">
        <f>'Cash Flow Analysis'!B24/(('Financial Statements'!C44+'Financial Statements'!C49+'Financial Statements'!B44+'Financial Statements'!B49)/2)</f>
        <v>2.7403145946370961</v>
      </c>
      <c r="D13" s="38">
        <f>'Cash Flow Analysis'!C24/(('Financial Statements'!D44+'Financial Statements'!D49+'Financial Statements'!C44+'Financial Statements'!C49)/2)</f>
        <v>0.81411722972561995</v>
      </c>
      <c r="E13" s="38">
        <f>'Cash Flow Analysis'!D24/(('Financial Statements'!E44+'Financial Statements'!E49+'Financial Statements'!D44+'Financial Statements'!D49)/2)</f>
        <v>0.77072715557774218</v>
      </c>
      <c r="F13" s="38">
        <f>'Cash Flow Analysis'!E24/(('Financial Statements'!F44+'Financial Statements'!F49+'Financial Statements'!E44+'Financial Statements'!E49)/2)</f>
        <v>1.0154664088931851</v>
      </c>
      <c r="G13" s="39">
        <f>'Cash Flow Analysis'!F24/(('Financial Statements'!G44+'Financial Statements'!G49+'Financial Statements'!F44+'Financial Statements'!F49)/2)</f>
        <v>0.78104626691398626</v>
      </c>
      <c r="H13" s="39">
        <f>'Cash Flow Analysis'!G24/(('Financial Statements'!H44+'Financial Statements'!H49+'Financial Statements'!G44+'Financial Statements'!G49)/2)</f>
        <v>0.78048032033705383</v>
      </c>
      <c r="I13" s="39">
        <f>'Cash Flow Analysis'!H24/(('Financial Statements'!I44+'Financial Statements'!I49+'Financial Statements'!H44+'Financial Statements'!H49)/2)</f>
        <v>0.77991346009010509</v>
      </c>
      <c r="J13" s="39">
        <f>'Cash Flow Analysis'!I24/(('Financial Statements'!J44+'Financial Statements'!J49+'Financial Statements'!I44+'Financial Statements'!I49)/2)</f>
        <v>0.77934568395879478</v>
      </c>
      <c r="K13" s="39">
        <f>'Cash Flow Analysis'!J24/(('Financial Statements'!K44+'Financial Statements'!K49+'Financial Statements'!J44+'Financial Statements'!J49)/2)</f>
        <v>0.77877698972161558</v>
      </c>
      <c r="L13" s="39">
        <f>'Cash Flow Analysis'!K24/(('Financial Statements'!L44+'Financial Statements'!L49+'Financial Statements'!K44+'Financial Statements'!K49)/2)</f>
        <v>0.7782073751498727</v>
      </c>
      <c r="M13" s="39">
        <f>'Cash Flow Analysis'!L24/(('Financial Statements'!M44+'Financial Statements'!M49+'Financial Statements'!L44+'Financial Statements'!L49)/2)</f>
        <v>0.77763683800765004</v>
      </c>
      <c r="N13" s="39">
        <f>'Cash Flow Analysis'!M24/(('Financial Statements'!N44+'Financial Statements'!N49+'Financial Statements'!M44+'Financial Statements'!M49)/2)</f>
        <v>0.77706537605178228</v>
      </c>
      <c r="O13" s="39">
        <f>'Cash Flow Analysis'!N24/(('Financial Statements'!O44+'Financial Statements'!O49+'Financial Statements'!N44+'Financial Statements'!N49)/2)</f>
        <v>0.77649298703182734</v>
      </c>
      <c r="P13" s="39">
        <f>'Cash Flow Analysis'!O24/(('Financial Statements'!P44+'Financial Statements'!P49+'Financial Statements'!O44+'Financial Statements'!O49)/2)</f>
        <v>0.77591966869003492</v>
      </c>
      <c r="Q13" s="39">
        <f>'Cash Flow Analysis'!P24/(('Financial Statements'!Q44+'Financial Statements'!Q49+'Financial Statements'!P44+'Financial Statements'!P49)/2)</f>
        <v>0.77534541876131824</v>
      </c>
      <c r="R13" s="39">
        <f>'Cash Flow Analysis'!Q24/(('Financial Statements'!R44+'Financial Statements'!R49+'Financial Statements'!Q44+'Financial Statements'!Q49)/2)</f>
        <v>0.77534541876131824</v>
      </c>
    </row>
    <row r="14" spans="1:18">
      <c r="B14" s="32"/>
      <c r="C14" s="32"/>
      <c r="D14" s="32"/>
      <c r="E14" s="38"/>
      <c r="F14" s="38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76" t="s">
        <v>474</v>
      </c>
      <c r="B15" s="36"/>
      <c r="C15" s="36"/>
      <c r="D15" s="36"/>
      <c r="E15" s="38"/>
      <c r="F15" s="38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18">
      <c r="A16" s="226" t="s">
        <v>475</v>
      </c>
      <c r="B16" s="36"/>
      <c r="C16" s="36"/>
      <c r="D16" s="36"/>
      <c r="E16" s="38"/>
      <c r="F16" s="38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1:18">
      <c r="A17" s="25" t="s">
        <v>262</v>
      </c>
      <c r="B17" s="38">
        <f>'Financial Statements'!B37/'Financial Statements'!B48</f>
        <v>2.4426921964780077</v>
      </c>
      <c r="C17" s="38">
        <f>'Financial Statements'!C37/'Financial Statements'!C48</f>
        <v>1.7726139833154215</v>
      </c>
      <c r="D17" s="38">
        <f>'Financial Statements'!D37/'Financial Statements'!D48</f>
        <v>2.1021723471419991</v>
      </c>
      <c r="E17" s="38">
        <f>'Financial Statements'!E37/'Financial Statements'!E48</f>
        <v>2.0385674931129478</v>
      </c>
      <c r="F17" s="38">
        <f>'Financial Statements'!F37/'Financial Statements'!F48</f>
        <v>2.2949790794979079</v>
      </c>
      <c r="G17" s="24">
        <f>'Financial Statements'!G37/'Financial Statements'!G48</f>
        <v>2.2949790794979084</v>
      </c>
      <c r="H17" s="24">
        <f>'Financial Statements'!H37/'Financial Statements'!H48</f>
        <v>2.2949790794979084</v>
      </c>
      <c r="I17" s="24">
        <f>'Financial Statements'!I37/'Financial Statements'!I48</f>
        <v>2.2949790794979079</v>
      </c>
      <c r="J17" s="24">
        <f>'Financial Statements'!J37/'Financial Statements'!J48</f>
        <v>2.2949790794979075</v>
      </c>
      <c r="K17" s="24">
        <f>'Financial Statements'!K37/'Financial Statements'!K48</f>
        <v>2.2949790794979079</v>
      </c>
      <c r="L17" s="24">
        <f>'Financial Statements'!L37/'Financial Statements'!L48</f>
        <v>2.2949790794979079</v>
      </c>
      <c r="M17" s="24">
        <f>'Financial Statements'!M37/'Financial Statements'!M48</f>
        <v>2.2949790794979075</v>
      </c>
      <c r="N17" s="24">
        <f>'Financial Statements'!N37/'Financial Statements'!N48</f>
        <v>2.2949790794979079</v>
      </c>
      <c r="O17" s="24">
        <f>'Financial Statements'!O37/'Financial Statements'!O48</f>
        <v>2.2949790794979079</v>
      </c>
      <c r="P17" s="24">
        <f>'Financial Statements'!P37/'Financial Statements'!P48</f>
        <v>2.2949790794979079</v>
      </c>
      <c r="Q17" s="24">
        <f>'Financial Statements'!Q37/'Financial Statements'!Q48</f>
        <v>2.2949790794979079</v>
      </c>
      <c r="R17" s="24">
        <f>'Financial Statements'!R37/'Financial Statements'!R48</f>
        <v>2.2949790794979079</v>
      </c>
    </row>
    <row r="18" spans="1:18">
      <c r="A18" s="25" t="s">
        <v>280</v>
      </c>
      <c r="B18" s="38">
        <f>('Financial Statements'!B33+'Financial Statements'!B34)/'Financial Statements'!B48</f>
        <v>1.1102381681749602</v>
      </c>
      <c r="C18" s="38">
        <f>('Financial Statements'!C33+'Financial Statements'!C34)/'Financial Statements'!C48</f>
        <v>0.32335100888224999</v>
      </c>
      <c r="D18" s="38">
        <f>('Financial Statements'!D33+'Financial Statements'!D34)/'Financial Statements'!D48</f>
        <v>0.37464887481879233</v>
      </c>
      <c r="E18" s="38">
        <f>('Financial Statements'!E33+'Financial Statements'!E34)/'Financial Statements'!E48</f>
        <v>0.37245179063360884</v>
      </c>
      <c r="F18" s="38">
        <f>('Financial Statements'!F33+'Financial Statements'!F34)/'Financial Statements'!F48</f>
        <v>0.9485355648535565</v>
      </c>
      <c r="G18" s="24">
        <f>('Financial Statements'!G33+'Financial Statements'!G34)/'Financial Statements'!G48</f>
        <v>0.9485355648535565</v>
      </c>
      <c r="H18" s="24">
        <f>('Financial Statements'!H33+'Financial Statements'!H34)/'Financial Statements'!H48</f>
        <v>0.94853556485355661</v>
      </c>
      <c r="I18" s="24">
        <f>('Financial Statements'!I33+'Financial Statements'!I34)/'Financial Statements'!I48</f>
        <v>0.94853556485355639</v>
      </c>
      <c r="J18" s="24">
        <f>('Financial Statements'!J33+'Financial Statements'!J34)/'Financial Statements'!J48</f>
        <v>0.94853556485355628</v>
      </c>
      <c r="K18" s="24">
        <f>('Financial Statements'!K33+'Financial Statements'!K34)/'Financial Statements'!K48</f>
        <v>0.9485355648535565</v>
      </c>
      <c r="L18" s="24">
        <f>('Financial Statements'!L33+'Financial Statements'!L34)/'Financial Statements'!L48</f>
        <v>0.9485355648535565</v>
      </c>
      <c r="M18" s="24">
        <f>('Financial Statements'!M33+'Financial Statements'!M34)/'Financial Statements'!M48</f>
        <v>0.94853556485355639</v>
      </c>
      <c r="N18" s="24">
        <f>('Financial Statements'!N33+'Financial Statements'!N34)/'Financial Statements'!N48</f>
        <v>0.94853556485355639</v>
      </c>
      <c r="O18" s="24">
        <f>('Financial Statements'!O33+'Financial Statements'!O34)/'Financial Statements'!O48</f>
        <v>0.94853556485355639</v>
      </c>
      <c r="P18" s="24">
        <f>('Financial Statements'!P33+'Financial Statements'!P34)/'Financial Statements'!P48</f>
        <v>0.9485355648535565</v>
      </c>
      <c r="Q18" s="24">
        <f>('Financial Statements'!Q33+'Financial Statements'!Q34)/'Financial Statements'!Q48</f>
        <v>0.9485355648535565</v>
      </c>
      <c r="R18" s="24">
        <f>('Financial Statements'!R33+'Financial Statements'!R34)/'Financial Statements'!R48</f>
        <v>0.9485355648535565</v>
      </c>
    </row>
    <row r="19" spans="1:18">
      <c r="A19" s="25" t="s">
        <v>281</v>
      </c>
      <c r="B19" s="38">
        <f>-'Financial Statements'!B19/'Financial Statements'!B20</f>
        <v>17.83985236133681</v>
      </c>
      <c r="C19" s="38">
        <f>-'Financial Statements'!C19/'Financial Statements'!C20</f>
        <v>24.383637658376664</v>
      </c>
      <c r="D19" s="38">
        <f>-'Financial Statements'!D19/'Financial Statements'!D20</f>
        <v>18.280219223599968</v>
      </c>
      <c r="E19" s="38">
        <f>-'Financial Statements'!E19/'Financial Statements'!E20</f>
        <v>10.971428571428572</v>
      </c>
      <c r="F19" s="38">
        <f>-'Financial Statements'!F19/'Financial Statements'!F20</f>
        <v>12.776119402985074</v>
      </c>
      <c r="G19" s="39">
        <f>-'Financial Statements'!G19/'Financial Statements'!G20</f>
        <v>13.164209626062945</v>
      </c>
      <c r="H19" s="39">
        <f>-'Financial Statements'!H19/'Financial Statements'!H20</f>
        <v>13.150661982091888</v>
      </c>
      <c r="I19" s="39">
        <f>-'Financial Statements'!I19/'Financial Statements'!I20</f>
        <v>13.137092466664058</v>
      </c>
      <c r="J19" s="39">
        <f>-'Financial Statements'!J19/'Financial Statements'!J20</f>
        <v>13.123501026772411</v>
      </c>
      <c r="K19" s="39">
        <f>-'Financial Statements'!K19/'Financial Statements'!K20</f>
        <v>13.109887609238465</v>
      </c>
      <c r="L19" s="39">
        <f>-'Financial Statements'!L19/'Financial Statements'!L20</f>
        <v>13.096252160711629</v>
      </c>
      <c r="M19" s="39">
        <f>-'Financial Statements'!M19/'Financial Statements'!M20</f>
        <v>13.082594627668499</v>
      </c>
      <c r="N19" s="39">
        <f>-'Financial Statements'!N19/'Financial Statements'!N20</f>
        <v>13.068914956412129</v>
      </c>
      <c r="O19" s="39">
        <f>-'Financial Statements'!O19/'Financial Statements'!O20</f>
        <v>13.05521309307138</v>
      </c>
      <c r="P19" s="39">
        <f>-'Financial Statements'!P19/'Financial Statements'!P20</f>
        <v>13.041488983600162</v>
      </c>
      <c r="Q19" s="39">
        <f>-'Financial Statements'!Q19/'Financial Statements'!Q20</f>
        <v>13.027742573776774</v>
      </c>
      <c r="R19" s="39">
        <f>-'Financial Statements'!R19/'Financial Statements'!R20</f>
        <v>13.027742573776775</v>
      </c>
    </row>
    <row r="20" spans="1:18">
      <c r="A20" s="25" t="s">
        <v>336</v>
      </c>
      <c r="B20" s="38">
        <f>-'Financial Statements'!B17/'Financial Statements'!B20</f>
        <v>21.716123099404154</v>
      </c>
      <c r="C20" s="38">
        <f>-'Financial Statements'!C17/'Financial Statements'!C20</f>
        <v>29.592419417684443</v>
      </c>
      <c r="D20" s="38">
        <f>-'Financial Statements'!D17/'Financial Statements'!D20</f>
        <v>22.860665369965151</v>
      </c>
      <c r="E20" s="38">
        <f>-'Financial Statements'!E17/'Financial Statements'!E20</f>
        <v>14.835714285714285</v>
      </c>
      <c r="F20" s="38">
        <f>-'Financial Statements'!F17/'Financial Statements'!F20</f>
        <v>17.17910447761194</v>
      </c>
      <c r="G20" s="39">
        <f>-'Financial Statements'!G17/'Financial Statements'!G20</f>
        <v>17.577879796854827</v>
      </c>
      <c r="H20" s="39">
        <f>-'Financial Statements'!H17/'Financial Statements'!H20</f>
        <v>17.564332152883768</v>
      </c>
      <c r="I20" s="39">
        <f>-'Financial Statements'!I17/'Financial Statements'!I20</f>
        <v>17.550762637455936</v>
      </c>
      <c r="J20" s="39">
        <f>-'Financial Statements'!J17/'Financial Statements'!J20</f>
        <v>17.537171197564291</v>
      </c>
      <c r="K20" s="39">
        <f>-'Financial Statements'!K17/'Financial Statements'!K20</f>
        <v>17.523557780030341</v>
      </c>
      <c r="L20" s="39">
        <f>-'Financial Statements'!L17/'Financial Statements'!L20</f>
        <v>17.509922331503507</v>
      </c>
      <c r="M20" s="39">
        <f>-'Financial Statements'!M17/'Financial Statements'!M20</f>
        <v>17.496264798460377</v>
      </c>
      <c r="N20" s="39">
        <f>-'Financial Statements'!N17/'Financial Statements'!N20</f>
        <v>17.482585127204011</v>
      </c>
      <c r="O20" s="39">
        <f>-'Financial Statements'!O17/'Financial Statements'!O20</f>
        <v>17.468883263863258</v>
      </c>
      <c r="P20" s="39">
        <f>-'Financial Statements'!P17/'Financial Statements'!P20</f>
        <v>17.455159154392042</v>
      </c>
      <c r="Q20" s="39">
        <f>-'Financial Statements'!Q17/'Financial Statements'!Q20</f>
        <v>17.441412744568652</v>
      </c>
      <c r="R20" s="39">
        <f>-'Financial Statements'!R17/'Financial Statements'!R20</f>
        <v>17.441412744568655</v>
      </c>
    </row>
    <row r="21" spans="1:18">
      <c r="A21" s="25"/>
      <c r="B21" s="38"/>
      <c r="C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18">
      <c r="A22" s="76" t="s">
        <v>230</v>
      </c>
      <c r="B22" s="38"/>
      <c r="C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</row>
    <row r="23" spans="1:18">
      <c r="A23" s="25" t="s">
        <v>181</v>
      </c>
      <c r="B23" s="206">
        <f>'Financial Statements'!B25/'Financial Statements'!B42</f>
        <v>9.1986944662526257E-2</v>
      </c>
      <c r="C23" s="206">
        <f>'Financial Statements'!C25/'Financial Statements'!C42</f>
        <v>0.12262573777728276</v>
      </c>
      <c r="D23" s="206">
        <f>'Financial Statements'!D25/'Financial Statements'!D42</f>
        <v>0.10263660831421574</v>
      </c>
      <c r="E23" s="206">
        <f>'Financial Statements'!E25/'Financial Statements'!E42</f>
        <v>7.8083642138697729E-2</v>
      </c>
      <c r="F23" s="206">
        <f>'Financial Statements'!F25/'Financial Statements'!F42</f>
        <v>7.5303951367781161E-2</v>
      </c>
      <c r="G23" s="209">
        <f>'Financial Statements'!G25/'Financial Statements'!G42</f>
        <v>7.6016469436996692E-2</v>
      </c>
      <c r="H23" s="209">
        <f>'Financial Statements'!H25/'Financial Statements'!H42</f>
        <v>7.5990537794685897E-2</v>
      </c>
      <c r="I23" s="209">
        <f>'Financial Statements'!I25/'Financial Statements'!I42</f>
        <v>7.5964524157173405E-2</v>
      </c>
      <c r="J23" s="209">
        <f>'Financial Statements'!J25/'Financial Statements'!J42</f>
        <v>7.5938428134943309E-2</v>
      </c>
      <c r="K23" s="209">
        <f>'Financial Statements'!K25/'Financial Statements'!K42</f>
        <v>7.59122493360085E-2</v>
      </c>
      <c r="L23" s="209">
        <f>'Financial Statements'!L25/'Financial Statements'!L42</f>
        <v>7.588598736589118E-2</v>
      </c>
      <c r="M23" s="209">
        <f>'Financial Statements'!M25/'Financial Statements'!M42</f>
        <v>7.5859641827603103E-2</v>
      </c>
      <c r="N23" s="209">
        <f>'Financial Statements'!N25/'Financial Statements'!N42</f>
        <v>7.5833212321625335E-2</v>
      </c>
      <c r="O23" s="209">
        <f>'Financial Statements'!O25/'Financial Statements'!O42</f>
        <v>7.5806698445888263E-2</v>
      </c>
      <c r="P23" s="209">
        <f>'Financial Statements'!P25/'Financial Statements'!P42</f>
        <v>7.5780099795751274E-2</v>
      </c>
      <c r="Q23" s="209">
        <f>'Financial Statements'!Q25/'Financial Statements'!Q42</f>
        <v>7.5753415963981927E-2</v>
      </c>
      <c r="R23" s="209">
        <f>'Financial Statements'!R25/'Financial Statements'!R42</f>
        <v>7.5753415963981927E-2</v>
      </c>
    </row>
    <row r="24" spans="1:18">
      <c r="A24" s="25" t="s">
        <v>167</v>
      </c>
      <c r="B24" s="207">
        <f t="shared" ref="B24:R24" si="0">IF(B23&lt;$C40,$B41,HLOOKUP(B23,$C40:$K41,2,TRUE))</f>
        <v>0.02</v>
      </c>
      <c r="C24" s="207">
        <f t="shared" si="0"/>
        <v>0.02</v>
      </c>
      <c r="D24" s="207">
        <f t="shared" si="0"/>
        <v>0.02</v>
      </c>
      <c r="E24" s="207">
        <f t="shared" si="0"/>
        <v>0.02</v>
      </c>
      <c r="F24" s="207">
        <f t="shared" si="0"/>
        <v>0.02</v>
      </c>
      <c r="G24" s="236">
        <f t="shared" si="0"/>
        <v>0.02</v>
      </c>
      <c r="H24" s="236">
        <f t="shared" si="0"/>
        <v>0.02</v>
      </c>
      <c r="I24" s="236">
        <f t="shared" si="0"/>
        <v>0.02</v>
      </c>
      <c r="J24" s="236">
        <f t="shared" si="0"/>
        <v>0.02</v>
      </c>
      <c r="K24" s="236">
        <f t="shared" si="0"/>
        <v>0.02</v>
      </c>
      <c r="L24" s="236">
        <f t="shared" si="0"/>
        <v>0.02</v>
      </c>
      <c r="M24" s="236">
        <f t="shared" si="0"/>
        <v>0.02</v>
      </c>
      <c r="N24" s="236">
        <f t="shared" si="0"/>
        <v>0.02</v>
      </c>
      <c r="O24" s="236">
        <f t="shared" si="0"/>
        <v>0.02</v>
      </c>
      <c r="P24" s="236">
        <f t="shared" si="0"/>
        <v>0.02</v>
      </c>
      <c r="Q24" s="236">
        <f t="shared" si="0"/>
        <v>0.02</v>
      </c>
      <c r="R24" s="236">
        <f t="shared" si="0"/>
        <v>0.02</v>
      </c>
    </row>
    <row r="25" spans="1:18">
      <c r="A25" s="25" t="s">
        <v>182</v>
      </c>
      <c r="B25" s="206">
        <f>'Financial Statements'!B52/'Financial Statements'!B42</f>
        <v>0.34914090818807919</v>
      </c>
      <c r="C25" s="206">
        <f>'Financial Statements'!C52/'Financial Statements'!C42</f>
        <v>0.38023611306359778</v>
      </c>
      <c r="D25" s="206">
        <f>'Financial Statements'!D52/'Financial Statements'!D42</f>
        <v>0.42220117230150295</v>
      </c>
      <c r="E25" s="206">
        <f>'Financial Statements'!E52/'Financial Statements'!E42</f>
        <v>0.40541732839244748</v>
      </c>
      <c r="F25" s="206">
        <f>'Financial Statements'!F52/'Financial Statements'!F42</f>
        <v>0.40326747720364742</v>
      </c>
      <c r="G25" s="209">
        <f>'Financial Statements'!G52/'Financial Statements'!G42</f>
        <v>0.40326747720364731</v>
      </c>
      <c r="H25" s="209">
        <f>'Financial Statements'!H52/'Financial Statements'!H42</f>
        <v>0.40326747720364742</v>
      </c>
      <c r="I25" s="209">
        <f>'Financial Statements'!I52/'Financial Statements'!I42</f>
        <v>0.40326747720364742</v>
      </c>
      <c r="J25" s="209">
        <f>'Financial Statements'!J52/'Financial Statements'!J42</f>
        <v>0.40326747720364742</v>
      </c>
      <c r="K25" s="209">
        <f>'Financial Statements'!K52/'Financial Statements'!K42</f>
        <v>0.40326747720364742</v>
      </c>
      <c r="L25" s="209">
        <f>'Financial Statements'!L52/'Financial Statements'!L42</f>
        <v>0.40326747720364736</v>
      </c>
      <c r="M25" s="209">
        <f>'Financial Statements'!M52/'Financial Statements'!M42</f>
        <v>0.40326747720364747</v>
      </c>
      <c r="N25" s="209">
        <f>'Financial Statements'!N52/'Financial Statements'!N42</f>
        <v>0.40326747720364742</v>
      </c>
      <c r="O25" s="209">
        <f>'Financial Statements'!O52/'Financial Statements'!O42</f>
        <v>0.40326747720364736</v>
      </c>
      <c r="P25" s="209">
        <f>'Financial Statements'!P52/'Financial Statements'!P42</f>
        <v>0.40326747720364747</v>
      </c>
      <c r="Q25" s="209">
        <f>'Financial Statements'!Q52/'Financial Statements'!Q42</f>
        <v>0.40326747720364747</v>
      </c>
      <c r="R25" s="209">
        <f>'Financial Statements'!R52/'Financial Statements'!R42</f>
        <v>0.40326747720364742</v>
      </c>
    </row>
    <row r="26" spans="1:18">
      <c r="A26" s="25" t="s">
        <v>167</v>
      </c>
      <c r="B26" s="207">
        <f t="shared" ref="B26:R26" si="1">IF(B25&lt;$C42,$B43,HLOOKUP(B25,$C42:$K43,2,TRUE))</f>
        <v>2.5000000000000001E-2</v>
      </c>
      <c r="C26" s="207">
        <f t="shared" si="1"/>
        <v>2.5000000000000001E-2</v>
      </c>
      <c r="D26" s="207">
        <f t="shared" si="1"/>
        <v>0.03</v>
      </c>
      <c r="E26" s="207">
        <f t="shared" si="1"/>
        <v>0.03</v>
      </c>
      <c r="F26" s="207">
        <f t="shared" si="1"/>
        <v>0.03</v>
      </c>
      <c r="G26" s="236">
        <f t="shared" si="1"/>
        <v>0.03</v>
      </c>
      <c r="H26" s="236">
        <f t="shared" si="1"/>
        <v>0.03</v>
      </c>
      <c r="I26" s="236">
        <f t="shared" si="1"/>
        <v>0.03</v>
      </c>
      <c r="J26" s="236">
        <f t="shared" si="1"/>
        <v>0.03</v>
      </c>
      <c r="K26" s="236">
        <f t="shared" si="1"/>
        <v>0.03</v>
      </c>
      <c r="L26" s="236">
        <f t="shared" si="1"/>
        <v>0.03</v>
      </c>
      <c r="M26" s="236">
        <f t="shared" si="1"/>
        <v>0.03</v>
      </c>
      <c r="N26" s="236">
        <f t="shared" si="1"/>
        <v>0.03</v>
      </c>
      <c r="O26" s="236">
        <f t="shared" si="1"/>
        <v>0.03</v>
      </c>
      <c r="P26" s="236">
        <f t="shared" si="1"/>
        <v>0.03</v>
      </c>
      <c r="Q26" s="236">
        <f t="shared" si="1"/>
        <v>0.03</v>
      </c>
      <c r="R26" s="236">
        <f t="shared" si="1"/>
        <v>0.03</v>
      </c>
    </row>
    <row r="27" spans="1:18">
      <c r="A27" s="25" t="s">
        <v>280</v>
      </c>
      <c r="B27" s="38">
        <f>B18</f>
        <v>1.1102381681749602</v>
      </c>
      <c r="C27" s="38">
        <f>C18</f>
        <v>0.32335100888224999</v>
      </c>
      <c r="D27" s="38">
        <f>D18</f>
        <v>0.37464887481879233</v>
      </c>
      <c r="E27" s="38">
        <f>E18</f>
        <v>0.37245179063360884</v>
      </c>
      <c r="F27" s="38">
        <f>F18</f>
        <v>0.9485355648535565</v>
      </c>
      <c r="G27" s="39">
        <f t="shared" ref="G27:R27" si="2">G18</f>
        <v>0.9485355648535565</v>
      </c>
      <c r="H27" s="39">
        <f t="shared" si="2"/>
        <v>0.94853556485355661</v>
      </c>
      <c r="I27" s="39">
        <f t="shared" si="2"/>
        <v>0.94853556485355639</v>
      </c>
      <c r="J27" s="39">
        <f t="shared" si="2"/>
        <v>0.94853556485355628</v>
      </c>
      <c r="K27" s="39">
        <f t="shared" si="2"/>
        <v>0.9485355648535565</v>
      </c>
      <c r="L27" s="39">
        <f t="shared" si="2"/>
        <v>0.9485355648535565</v>
      </c>
      <c r="M27" s="39">
        <f t="shared" si="2"/>
        <v>0.94853556485355639</v>
      </c>
      <c r="N27" s="39">
        <f t="shared" si="2"/>
        <v>0.94853556485355639</v>
      </c>
      <c r="O27" s="39">
        <f t="shared" si="2"/>
        <v>0.94853556485355639</v>
      </c>
      <c r="P27" s="39">
        <f t="shared" si="2"/>
        <v>0.9485355648535565</v>
      </c>
      <c r="Q27" s="39">
        <f t="shared" si="2"/>
        <v>0.9485355648535565</v>
      </c>
      <c r="R27" s="39">
        <f t="shared" si="2"/>
        <v>0.9485355648535565</v>
      </c>
    </row>
    <row r="28" spans="1:18">
      <c r="A28" s="25" t="s">
        <v>167</v>
      </c>
      <c r="B28" s="207">
        <f t="shared" ref="B28:R28" si="3">IF(B27&lt;$C44,$B45,HLOOKUP(B27,$C44:$K45,2,TRUE))</f>
        <v>0.04</v>
      </c>
      <c r="C28" s="207">
        <f t="shared" si="3"/>
        <v>0.09</v>
      </c>
      <c r="D28" s="207">
        <f t="shared" si="3"/>
        <v>0.09</v>
      </c>
      <c r="E28" s="207">
        <f t="shared" si="3"/>
        <v>0.09</v>
      </c>
      <c r="F28" s="207">
        <f t="shared" si="3"/>
        <v>4.2000000000000003E-2</v>
      </c>
      <c r="G28" s="237">
        <f t="shared" si="3"/>
        <v>4.2000000000000003E-2</v>
      </c>
      <c r="H28" s="237">
        <f t="shared" si="3"/>
        <v>4.2000000000000003E-2</v>
      </c>
      <c r="I28" s="237">
        <f t="shared" si="3"/>
        <v>4.2000000000000003E-2</v>
      </c>
      <c r="J28" s="237">
        <f t="shared" si="3"/>
        <v>4.2000000000000003E-2</v>
      </c>
      <c r="K28" s="237">
        <f t="shared" si="3"/>
        <v>4.2000000000000003E-2</v>
      </c>
      <c r="L28" s="237">
        <f t="shared" si="3"/>
        <v>4.2000000000000003E-2</v>
      </c>
      <c r="M28" s="237">
        <f t="shared" si="3"/>
        <v>4.2000000000000003E-2</v>
      </c>
      <c r="N28" s="237">
        <f t="shared" si="3"/>
        <v>4.2000000000000003E-2</v>
      </c>
      <c r="O28" s="237">
        <f t="shared" si="3"/>
        <v>4.2000000000000003E-2</v>
      </c>
      <c r="P28" s="237">
        <f t="shared" si="3"/>
        <v>4.2000000000000003E-2</v>
      </c>
      <c r="Q28" s="237">
        <f t="shared" si="3"/>
        <v>4.2000000000000003E-2</v>
      </c>
      <c r="R28" s="237">
        <f t="shared" si="3"/>
        <v>4.2000000000000003E-2</v>
      </c>
    </row>
    <row r="29" spans="1:18">
      <c r="A29" s="25" t="s">
        <v>183</v>
      </c>
      <c r="B29" s="211">
        <f>B19</f>
        <v>17.83985236133681</v>
      </c>
      <c r="C29" s="211">
        <f>C19</f>
        <v>24.383637658376664</v>
      </c>
      <c r="D29" s="211">
        <f>D19</f>
        <v>18.280219223599968</v>
      </c>
      <c r="E29" s="211">
        <f>E19</f>
        <v>10.971428571428572</v>
      </c>
      <c r="F29" s="211">
        <f>F19</f>
        <v>12.776119402985074</v>
      </c>
      <c r="G29" s="212">
        <f t="shared" ref="G29:R29" si="4">G19</f>
        <v>13.164209626062945</v>
      </c>
      <c r="H29" s="212">
        <f t="shared" si="4"/>
        <v>13.150661982091888</v>
      </c>
      <c r="I29" s="212">
        <f t="shared" si="4"/>
        <v>13.137092466664058</v>
      </c>
      <c r="J29" s="212">
        <f t="shared" si="4"/>
        <v>13.123501026772411</v>
      </c>
      <c r="K29" s="212">
        <f t="shared" si="4"/>
        <v>13.109887609238465</v>
      </c>
      <c r="L29" s="212">
        <f t="shared" si="4"/>
        <v>13.096252160711629</v>
      </c>
      <c r="M29" s="212">
        <f t="shared" si="4"/>
        <v>13.082594627668499</v>
      </c>
      <c r="N29" s="212">
        <f t="shared" si="4"/>
        <v>13.068914956412129</v>
      </c>
      <c r="O29" s="212">
        <f t="shared" si="4"/>
        <v>13.05521309307138</v>
      </c>
      <c r="P29" s="212">
        <f t="shared" si="4"/>
        <v>13.041488983600162</v>
      </c>
      <c r="Q29" s="212">
        <f t="shared" si="4"/>
        <v>13.027742573776774</v>
      </c>
      <c r="R29" s="212">
        <f t="shared" si="4"/>
        <v>13.027742573776775</v>
      </c>
    </row>
    <row r="30" spans="1:18">
      <c r="A30" s="25" t="s">
        <v>167</v>
      </c>
      <c r="B30" s="207">
        <f t="shared" ref="B30:R30" si="5">IF(B29&lt;$C46,$B47,HLOOKUP(B29,$C46:$K47,2,TRUE))</f>
        <v>1.4999999999999999E-2</v>
      </c>
      <c r="C30" s="207">
        <f t="shared" si="5"/>
        <v>0.01</v>
      </c>
      <c r="D30" s="207">
        <f t="shared" si="5"/>
        <v>1.4999999999999999E-2</v>
      </c>
      <c r="E30" s="207">
        <f t="shared" si="5"/>
        <v>1.4999999999999999E-2</v>
      </c>
      <c r="F30" s="207">
        <f t="shared" si="5"/>
        <v>1.4999999999999999E-2</v>
      </c>
      <c r="G30" s="237">
        <f t="shared" si="5"/>
        <v>1.4999999999999999E-2</v>
      </c>
      <c r="H30" s="237">
        <f t="shared" si="5"/>
        <v>1.4999999999999999E-2</v>
      </c>
      <c r="I30" s="237">
        <f t="shared" si="5"/>
        <v>1.4999999999999999E-2</v>
      </c>
      <c r="J30" s="237">
        <f t="shared" si="5"/>
        <v>1.4999999999999999E-2</v>
      </c>
      <c r="K30" s="237">
        <f t="shared" si="5"/>
        <v>1.4999999999999999E-2</v>
      </c>
      <c r="L30" s="237">
        <f t="shared" si="5"/>
        <v>1.4999999999999999E-2</v>
      </c>
      <c r="M30" s="237">
        <f t="shared" si="5"/>
        <v>1.4999999999999999E-2</v>
      </c>
      <c r="N30" s="237">
        <f t="shared" si="5"/>
        <v>1.4999999999999999E-2</v>
      </c>
      <c r="O30" s="237">
        <f t="shared" si="5"/>
        <v>1.4999999999999999E-2</v>
      </c>
      <c r="P30" s="237">
        <f t="shared" si="5"/>
        <v>1.4999999999999999E-2</v>
      </c>
      <c r="Q30" s="237">
        <f t="shared" si="5"/>
        <v>1.4999999999999999E-2</v>
      </c>
      <c r="R30" s="237">
        <f t="shared" si="5"/>
        <v>1.4999999999999999E-2</v>
      </c>
    </row>
    <row r="31" spans="1:18">
      <c r="A31" s="25" t="s">
        <v>61</v>
      </c>
      <c r="B31" s="208">
        <f>-365*'Financial Statements'!B35/'Financial Statements'!B13</f>
        <v>94.194547847617272</v>
      </c>
      <c r="C31" s="208">
        <f>-365*'Financial Statements'!C35/'Financial Statements'!C13</f>
        <v>95.511338491744567</v>
      </c>
      <c r="D31" s="208">
        <f>-365*'Financial Statements'!D35/'Financial Statements'!D13</f>
        <v>99.654635682666623</v>
      </c>
      <c r="E31" s="208">
        <f>-365*'Financial Statements'!E35/'Financial Statements'!E13</f>
        <v>98.861525062899162</v>
      </c>
      <c r="F31" s="208">
        <f>-365*'Financial Statements'!F35/'Financial Statements'!F13</f>
        <v>99.896535580524343</v>
      </c>
      <c r="G31" s="210">
        <f>-365*'Financial Statements'!G35/'Financial Statements'!G13</f>
        <v>99.896535580524329</v>
      </c>
      <c r="H31" s="210">
        <f>-365*'Financial Statements'!H35/'Financial Statements'!H13</f>
        <v>99.896535580524343</v>
      </c>
      <c r="I31" s="210">
        <f>-365*'Financial Statements'!I35/'Financial Statements'!I13</f>
        <v>99.896535580524343</v>
      </c>
      <c r="J31" s="210">
        <f>-365*'Financial Statements'!J35/'Financial Statements'!J13</f>
        <v>99.896535580524343</v>
      </c>
      <c r="K31" s="210">
        <f>-365*'Financial Statements'!K35/'Financial Statements'!K13</f>
        <v>99.896535580524343</v>
      </c>
      <c r="L31" s="210">
        <f>-365*'Financial Statements'!L35/'Financial Statements'!L13</f>
        <v>99.896535580524343</v>
      </c>
      <c r="M31" s="210">
        <f>-365*'Financial Statements'!M35/'Financial Statements'!M13</f>
        <v>99.896535580524343</v>
      </c>
      <c r="N31" s="210">
        <f>-365*'Financial Statements'!N35/'Financial Statements'!N13</f>
        <v>99.896535580524343</v>
      </c>
      <c r="O31" s="210">
        <f>-365*'Financial Statements'!O35/'Financial Statements'!O13</f>
        <v>99.896535580524343</v>
      </c>
      <c r="P31" s="210">
        <f>-365*'Financial Statements'!P35/'Financial Statements'!P13</f>
        <v>99.896535580524343</v>
      </c>
      <c r="Q31" s="210">
        <f>-365*'Financial Statements'!Q35/'Financial Statements'!Q13</f>
        <v>99.896535580524329</v>
      </c>
      <c r="R31" s="210">
        <f>-365*'Financial Statements'!R35/'Financial Statements'!R13</f>
        <v>99.896535580524358</v>
      </c>
    </row>
    <row r="32" spans="1:18">
      <c r="A32" s="25" t="s">
        <v>167</v>
      </c>
      <c r="B32" s="207">
        <f t="shared" ref="B32:R32" si="6">IF(B31&lt;$C48,$B49,HLOOKUP(B31,$C48:$K49,2,TRUE))</f>
        <v>5.5E-2</v>
      </c>
      <c r="C32" s="207">
        <f t="shared" si="6"/>
        <v>5.5E-2</v>
      </c>
      <c r="D32" s="207">
        <f t="shared" si="6"/>
        <v>5.5E-2</v>
      </c>
      <c r="E32" s="207">
        <f t="shared" si="6"/>
        <v>5.5E-2</v>
      </c>
      <c r="F32" s="207">
        <f t="shared" si="6"/>
        <v>5.5E-2</v>
      </c>
      <c r="G32" s="237">
        <f t="shared" si="6"/>
        <v>5.5E-2</v>
      </c>
      <c r="H32" s="237">
        <f t="shared" si="6"/>
        <v>5.5E-2</v>
      </c>
      <c r="I32" s="237">
        <f t="shared" si="6"/>
        <v>5.5E-2</v>
      </c>
      <c r="J32" s="237">
        <f t="shared" si="6"/>
        <v>5.5E-2</v>
      </c>
      <c r="K32" s="237">
        <f t="shared" si="6"/>
        <v>5.5E-2</v>
      </c>
      <c r="L32" s="237">
        <f t="shared" si="6"/>
        <v>5.5E-2</v>
      </c>
      <c r="M32" s="237">
        <f t="shared" si="6"/>
        <v>5.5E-2</v>
      </c>
      <c r="N32" s="237">
        <f t="shared" si="6"/>
        <v>5.5E-2</v>
      </c>
      <c r="O32" s="237">
        <f t="shared" si="6"/>
        <v>5.5E-2</v>
      </c>
      <c r="P32" s="237">
        <f t="shared" si="6"/>
        <v>5.5E-2</v>
      </c>
      <c r="Q32" s="237">
        <f t="shared" si="6"/>
        <v>5.5E-2</v>
      </c>
      <c r="R32" s="237">
        <f t="shared" si="6"/>
        <v>5.5E-2</v>
      </c>
    </row>
    <row r="33" spans="1:18">
      <c r="A33" s="25" t="s">
        <v>166</v>
      </c>
      <c r="B33" s="37">
        <f>'Ratio Analysis'!B10</f>
        <v>0</v>
      </c>
      <c r="C33" s="37">
        <f>'Ratio Analysis'!C10</f>
        <v>0.15982184141623734</v>
      </c>
      <c r="D33" s="37">
        <f>'Ratio Analysis'!D10</f>
        <v>5.9800501589533317E-2</v>
      </c>
      <c r="E33" s="37">
        <f>'Ratio Analysis'!E10</f>
        <v>-5.1435818983115444E-3</v>
      </c>
      <c r="F33" s="37">
        <f>'Ratio Analysis'!F10</f>
        <v>4.8142046494600077E-2</v>
      </c>
      <c r="G33" s="47">
        <f>'Ratio Analysis'!G10</f>
        <v>4.6492769540545487E-2</v>
      </c>
      <c r="H33" s="47">
        <f>'Ratio Analysis'!H10</f>
        <v>4.4843492586490896E-2</v>
      </c>
      <c r="I33" s="47">
        <f>'Ratio Analysis'!I10</f>
        <v>4.3194215632436528E-2</v>
      </c>
      <c r="J33" s="47">
        <f>'Ratio Analysis'!J10</f>
        <v>4.1544938678381937E-2</v>
      </c>
      <c r="K33" s="47">
        <f>'Ratio Analysis'!K10</f>
        <v>3.9895661724327347E-2</v>
      </c>
      <c r="L33" s="47">
        <f>'Ratio Analysis'!L10</f>
        <v>3.8246384770272757E-2</v>
      </c>
      <c r="M33" s="47">
        <f>'Ratio Analysis'!M10</f>
        <v>3.6597107816218166E-2</v>
      </c>
      <c r="N33" s="47">
        <f>'Ratio Analysis'!N10</f>
        <v>3.4947830862163576E-2</v>
      </c>
      <c r="O33" s="47">
        <f>'Ratio Analysis'!O10</f>
        <v>3.3298553908109207E-2</v>
      </c>
      <c r="P33" s="47">
        <f>'Ratio Analysis'!P10</f>
        <v>3.1649276954054617E-2</v>
      </c>
      <c r="Q33" s="47">
        <f>'Ratio Analysis'!Q10</f>
        <v>3.0000000000000027E-2</v>
      </c>
      <c r="R33" s="47">
        <f>'Ratio Analysis'!R10</f>
        <v>3.0000000000000027E-2</v>
      </c>
    </row>
    <row r="34" spans="1:18">
      <c r="A34" s="25" t="s">
        <v>167</v>
      </c>
      <c r="B34" s="207">
        <f t="shared" ref="B34:R34" si="7">IF(B33&lt;$C50,$B51,HLOOKUP(B33,$C50:$K51,2,TRUE))</f>
        <v>4.2000000000000003E-2</v>
      </c>
      <c r="C34" s="207">
        <f t="shared" si="7"/>
        <v>3.2000000000000001E-2</v>
      </c>
      <c r="D34" s="207">
        <f t="shared" si="7"/>
        <v>0.03</v>
      </c>
      <c r="E34" s="207">
        <f t="shared" si="7"/>
        <v>4.2000000000000003E-2</v>
      </c>
      <c r="F34" s="207">
        <f t="shared" si="7"/>
        <v>3.2000000000000001E-2</v>
      </c>
      <c r="G34" s="237">
        <f t="shared" si="7"/>
        <v>3.2000000000000001E-2</v>
      </c>
      <c r="H34" s="237">
        <f t="shared" si="7"/>
        <v>3.2000000000000001E-2</v>
      </c>
      <c r="I34" s="237">
        <f t="shared" si="7"/>
        <v>3.2000000000000001E-2</v>
      </c>
      <c r="J34" s="237">
        <f t="shared" si="7"/>
        <v>3.2000000000000001E-2</v>
      </c>
      <c r="K34" s="237">
        <f t="shared" si="7"/>
        <v>3.2000000000000001E-2</v>
      </c>
      <c r="L34" s="237">
        <f t="shared" si="7"/>
        <v>3.2000000000000001E-2</v>
      </c>
      <c r="M34" s="237">
        <f t="shared" si="7"/>
        <v>3.2000000000000001E-2</v>
      </c>
      <c r="N34" s="237">
        <f t="shared" si="7"/>
        <v>3.2000000000000001E-2</v>
      </c>
      <c r="O34" s="237">
        <f t="shared" si="7"/>
        <v>3.2000000000000001E-2</v>
      </c>
      <c r="P34" s="237">
        <f t="shared" si="7"/>
        <v>3.2000000000000001E-2</v>
      </c>
      <c r="Q34" s="237">
        <f t="shared" si="7"/>
        <v>3.2000000000000001E-2</v>
      </c>
      <c r="R34" s="237">
        <f t="shared" si="7"/>
        <v>3.2000000000000001E-2</v>
      </c>
    </row>
    <row r="35" spans="1:18" s="7" customFormat="1">
      <c r="A35" s="7" t="s">
        <v>411</v>
      </c>
      <c r="B35" s="250">
        <f t="shared" ref="B35:R35" si="8">AVERAGE(B24,B26,B28,B30,B32,B34)</f>
        <v>3.2833333333333332E-2</v>
      </c>
      <c r="C35" s="250">
        <f t="shared" si="8"/>
        <v>3.8666666666666669E-2</v>
      </c>
      <c r="D35" s="250">
        <f t="shared" si="8"/>
        <v>0.04</v>
      </c>
      <c r="E35" s="250">
        <f t="shared" si="8"/>
        <v>4.2000000000000003E-2</v>
      </c>
      <c r="F35" s="250">
        <f t="shared" si="8"/>
        <v>3.2333333333333332E-2</v>
      </c>
      <c r="G35" s="251">
        <f t="shared" si="8"/>
        <v>3.2333333333333332E-2</v>
      </c>
      <c r="H35" s="251">
        <f t="shared" si="8"/>
        <v>3.2333333333333332E-2</v>
      </c>
      <c r="I35" s="251">
        <f t="shared" si="8"/>
        <v>3.2333333333333332E-2</v>
      </c>
      <c r="J35" s="251">
        <f t="shared" si="8"/>
        <v>3.2333333333333332E-2</v>
      </c>
      <c r="K35" s="251">
        <f t="shared" si="8"/>
        <v>3.2333333333333332E-2</v>
      </c>
      <c r="L35" s="251">
        <f t="shared" si="8"/>
        <v>3.2333333333333332E-2</v>
      </c>
      <c r="M35" s="251">
        <f t="shared" si="8"/>
        <v>3.2333333333333332E-2</v>
      </c>
      <c r="N35" s="251">
        <f t="shared" si="8"/>
        <v>3.2333333333333332E-2</v>
      </c>
      <c r="O35" s="251">
        <f t="shared" si="8"/>
        <v>3.2333333333333332E-2</v>
      </c>
      <c r="P35" s="251">
        <f t="shared" si="8"/>
        <v>3.2333333333333332E-2</v>
      </c>
      <c r="Q35" s="251">
        <f t="shared" si="8"/>
        <v>3.2333333333333332E-2</v>
      </c>
      <c r="R35" s="251">
        <f t="shared" si="8"/>
        <v>3.2333333333333332E-2</v>
      </c>
    </row>
    <row r="36" spans="1:18">
      <c r="A36" s="7"/>
      <c r="B36" s="250"/>
      <c r="C36" s="250"/>
      <c r="D36" s="250"/>
      <c r="E36" s="250"/>
      <c r="F36" s="250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</row>
    <row r="37" spans="1:18" s="224" customFormat="1">
      <c r="A37" s="224" t="s">
        <v>127</v>
      </c>
      <c r="B37" s="223">
        <f>IF(MONTH(B7)&gt;6,YEAR(B7),YEAR(B7)-1)</f>
        <v>2005</v>
      </c>
      <c r="C37" s="223">
        <f>IF(MONTH(C7)&gt;6,YEAR(C7),YEAR(C7)-1)</f>
        <v>2006</v>
      </c>
      <c r="D37" s="223">
        <f>IF(MONTH(D7)&gt;6,YEAR(D7),YEAR(D7)-1)</f>
        <v>2007</v>
      </c>
      <c r="E37" s="223">
        <f t="shared" ref="E37:R37" si="9">IF(MONTH(E7)&gt;6,YEAR(E7),YEAR(E7)-1)</f>
        <v>2008</v>
      </c>
      <c r="F37" s="223">
        <f t="shared" si="9"/>
        <v>2009</v>
      </c>
      <c r="G37" s="224">
        <f t="shared" si="9"/>
        <v>2010</v>
      </c>
      <c r="H37" s="224">
        <f t="shared" si="9"/>
        <v>2011</v>
      </c>
      <c r="I37" s="224">
        <f t="shared" si="9"/>
        <v>2012</v>
      </c>
      <c r="J37" s="224">
        <f t="shared" si="9"/>
        <v>2013</v>
      </c>
      <c r="K37" s="224">
        <f t="shared" si="9"/>
        <v>2014</v>
      </c>
      <c r="L37" s="224">
        <f t="shared" si="9"/>
        <v>2015</v>
      </c>
      <c r="M37" s="224">
        <f t="shared" si="9"/>
        <v>2016</v>
      </c>
      <c r="N37" s="224">
        <f t="shared" si="9"/>
        <v>2017</v>
      </c>
      <c r="O37" s="224">
        <f t="shared" si="9"/>
        <v>2018</v>
      </c>
      <c r="P37" s="224">
        <f t="shared" si="9"/>
        <v>2019</v>
      </c>
      <c r="Q37" s="224">
        <f t="shared" si="9"/>
        <v>2020</v>
      </c>
      <c r="R37" s="224">
        <f t="shared" si="9"/>
        <v>2021</v>
      </c>
    </row>
    <row r="38" spans="1:18" s="7" customFormat="1">
      <c r="B38" s="13"/>
      <c r="C38" s="13"/>
      <c r="D38" s="13"/>
      <c r="E38" s="13"/>
      <c r="F38" s="13"/>
    </row>
    <row r="39" spans="1:18">
      <c r="A39" s="1" t="s">
        <v>246</v>
      </c>
      <c r="B39" t="s">
        <v>134</v>
      </c>
      <c r="C39" t="s">
        <v>133</v>
      </c>
      <c r="D39" t="s">
        <v>135</v>
      </c>
      <c r="E39" s="24" t="s">
        <v>136</v>
      </c>
      <c r="F39" s="24" t="s">
        <v>31</v>
      </c>
      <c r="G39" s="24" t="s">
        <v>32</v>
      </c>
      <c r="H39" s="24" t="s">
        <v>33</v>
      </c>
      <c r="I39" s="24" t="s">
        <v>34</v>
      </c>
      <c r="J39" s="24" t="s">
        <v>35</v>
      </c>
      <c r="K39" s="24" t="s">
        <v>247</v>
      </c>
      <c r="L39" s="24"/>
      <c r="M39" s="24"/>
      <c r="N39" s="24"/>
      <c r="O39" s="24"/>
      <c r="P39" s="24"/>
      <c r="Q39" s="24"/>
      <c r="R39" s="24"/>
    </row>
    <row r="40" spans="1:18">
      <c r="A40" t="s">
        <v>301</v>
      </c>
      <c r="C40">
        <v>-0.44800000000000001</v>
      </c>
      <c r="D40">
        <v>-0.161</v>
      </c>
      <c r="E40">
        <v>-4.9000000000000002E-2</v>
      </c>
      <c r="F40" s="24">
        <v>1E-3</v>
      </c>
      <c r="G40" s="24">
        <v>2.1999999999999999E-2</v>
      </c>
      <c r="H40" s="24">
        <v>3.7999999999999999E-2</v>
      </c>
      <c r="I40" s="24">
        <v>5.6000000000000001E-2</v>
      </c>
      <c r="J40" s="24">
        <v>7.9000000000000001E-2</v>
      </c>
      <c r="K40" s="24">
        <v>0.11799999999999999</v>
      </c>
      <c r="L40" s="24"/>
      <c r="M40" s="24"/>
      <c r="N40" s="24"/>
      <c r="O40" s="24"/>
      <c r="P40" s="24"/>
      <c r="Q40" s="24"/>
      <c r="R40" s="24"/>
    </row>
    <row r="41" spans="1:18">
      <c r="A41" t="s">
        <v>131</v>
      </c>
      <c r="B41">
        <v>8.3000000000000004E-2</v>
      </c>
      <c r="C41">
        <v>0.08</v>
      </c>
      <c r="D41">
        <v>7.1999999999999995E-2</v>
      </c>
      <c r="E41" s="24">
        <v>5.5E-2</v>
      </c>
      <c r="F41" s="24">
        <v>4.4999999999999998E-2</v>
      </c>
      <c r="G41" s="24">
        <v>0.03</v>
      </c>
      <c r="H41" s="24">
        <v>2.5000000000000001E-2</v>
      </c>
      <c r="I41" s="24">
        <v>0.02</v>
      </c>
      <c r="J41" s="24">
        <v>0.02</v>
      </c>
      <c r="K41" s="24">
        <v>0.02</v>
      </c>
      <c r="L41" s="24"/>
      <c r="M41" s="24"/>
      <c r="N41" s="24"/>
      <c r="O41" s="24"/>
      <c r="P41" s="24"/>
      <c r="Q41" s="24"/>
      <c r="R41" s="24"/>
    </row>
    <row r="42" spans="1:18">
      <c r="A42" t="s">
        <v>302</v>
      </c>
      <c r="C42">
        <v>0.17499999999999999</v>
      </c>
      <c r="D42">
        <v>0.28299999999999997</v>
      </c>
      <c r="E42">
        <v>0.38500000000000001</v>
      </c>
      <c r="F42" s="24">
        <v>0.47599999999999998</v>
      </c>
      <c r="G42" s="24">
        <v>0.55800000000000005</v>
      </c>
      <c r="H42" s="24">
        <v>0.63300000000000001</v>
      </c>
      <c r="I42" s="24">
        <v>0.70899999999999996</v>
      </c>
      <c r="J42" s="24">
        <v>0.81599999999999995</v>
      </c>
      <c r="K42" s="24">
        <v>1.03</v>
      </c>
      <c r="L42" s="24"/>
      <c r="M42" s="24"/>
      <c r="N42" s="24"/>
      <c r="O42" s="24"/>
      <c r="P42" s="24"/>
      <c r="Q42" s="24"/>
      <c r="R42" s="24"/>
    </row>
    <row r="43" spans="1:18">
      <c r="A43" t="s">
        <v>245</v>
      </c>
      <c r="B43">
        <v>0.02</v>
      </c>
      <c r="C43">
        <v>2.1999999999999999E-2</v>
      </c>
      <c r="D43">
        <v>2.5000000000000001E-2</v>
      </c>
      <c r="E43" s="24">
        <v>0.03</v>
      </c>
      <c r="F43" s="24">
        <v>3.5000000000000003E-2</v>
      </c>
      <c r="G43" s="24">
        <v>4.4999999999999998E-2</v>
      </c>
      <c r="H43" s="24">
        <v>5.5E-2</v>
      </c>
      <c r="I43" s="24">
        <v>7.0000000000000007E-2</v>
      </c>
      <c r="J43" s="24">
        <v>0.09</v>
      </c>
      <c r="K43" s="24">
        <v>0.1</v>
      </c>
    </row>
    <row r="44" spans="1:18">
      <c r="A44" t="s">
        <v>248</v>
      </c>
      <c r="C44">
        <v>0.38200000000000001</v>
      </c>
      <c r="D44">
        <v>0.52200000000000002</v>
      </c>
      <c r="E44">
        <v>0.80900000000000005</v>
      </c>
      <c r="F44">
        <v>0.99399999999999999</v>
      </c>
      <c r="G44" s="24">
        <v>1.2</v>
      </c>
      <c r="H44" s="24">
        <v>1.47</v>
      </c>
      <c r="I44" s="24">
        <v>1.89</v>
      </c>
      <c r="J44" s="24">
        <v>2.5299999999999998</v>
      </c>
      <c r="K44" s="24">
        <v>4.55</v>
      </c>
    </row>
    <row r="45" spans="1:18">
      <c r="A45" t="s">
        <v>365</v>
      </c>
      <c r="B45">
        <v>0.09</v>
      </c>
      <c r="C45">
        <v>6.5000000000000002E-2</v>
      </c>
      <c r="D45">
        <v>0.05</v>
      </c>
      <c r="E45" s="24">
        <v>4.2000000000000003E-2</v>
      </c>
      <c r="F45" s="24">
        <v>0.04</v>
      </c>
      <c r="G45" s="24">
        <v>3.5000000000000003E-2</v>
      </c>
      <c r="H45" s="24">
        <v>2.5000000000000001E-2</v>
      </c>
      <c r="I45" s="24">
        <v>0.02</v>
      </c>
      <c r="J45" s="24">
        <v>1.4999999999999999E-2</v>
      </c>
      <c r="K45" s="24">
        <v>0.01</v>
      </c>
    </row>
    <row r="46" spans="1:18">
      <c r="A46" t="s">
        <v>249</v>
      </c>
      <c r="C46">
        <v>-17.399999999999999</v>
      </c>
      <c r="D46">
        <v>-3.6</v>
      </c>
      <c r="E46">
        <v>-0.13900000000000001</v>
      </c>
      <c r="F46">
        <v>1.25</v>
      </c>
      <c r="G46" s="24">
        <v>2.21</v>
      </c>
      <c r="H46" s="24">
        <v>3.38</v>
      </c>
      <c r="I46" s="24">
        <v>5.21</v>
      </c>
      <c r="J46" s="24">
        <v>9.16</v>
      </c>
      <c r="K46" s="24">
        <v>23.8</v>
      </c>
    </row>
    <row r="47" spans="1:18">
      <c r="A47" t="s">
        <v>364</v>
      </c>
      <c r="B47">
        <v>7.4999999999999997E-2</v>
      </c>
      <c r="C47">
        <v>0.09</v>
      </c>
      <c r="D47">
        <v>8.5000000000000006E-2</v>
      </c>
      <c r="E47" s="24">
        <v>7.0000000000000007E-2</v>
      </c>
      <c r="F47" s="24">
        <v>0.05</v>
      </c>
      <c r="G47" s="24">
        <v>0.03</v>
      </c>
      <c r="H47" s="24">
        <v>2.1000000000000001E-2</v>
      </c>
      <c r="I47" s="24">
        <v>1.7999999999999999E-2</v>
      </c>
      <c r="J47" s="24">
        <v>1.4999999999999999E-2</v>
      </c>
      <c r="K47" s="24">
        <v>0.01</v>
      </c>
    </row>
    <row r="48" spans="1:18">
      <c r="A48" t="s">
        <v>250</v>
      </c>
      <c r="C48">
        <v>0.36499999999999999</v>
      </c>
      <c r="D48">
        <v>2.56</v>
      </c>
      <c r="E48">
        <v>14.24</v>
      </c>
      <c r="F48">
        <v>31.39</v>
      </c>
      <c r="G48">
        <v>50</v>
      </c>
      <c r="H48" s="24">
        <v>70.08</v>
      </c>
      <c r="I48" s="24">
        <v>91.98</v>
      </c>
      <c r="J48" s="24">
        <v>121.54</v>
      </c>
      <c r="K48" s="24">
        <v>174.47</v>
      </c>
    </row>
    <row r="49" spans="1:11">
      <c r="A49" t="s">
        <v>251</v>
      </c>
      <c r="B49">
        <v>0.03</v>
      </c>
      <c r="C49">
        <v>3.5000000000000003E-2</v>
      </c>
      <c r="D49">
        <v>3.9E-2</v>
      </c>
      <c r="E49" s="24">
        <v>0.04</v>
      </c>
      <c r="F49" s="24">
        <v>4.2000000000000003E-2</v>
      </c>
      <c r="G49" s="24">
        <v>4.4999999999999998E-2</v>
      </c>
      <c r="H49" s="24">
        <v>4.9000000000000002E-2</v>
      </c>
      <c r="I49" s="24">
        <v>5.5E-2</v>
      </c>
      <c r="J49" s="24">
        <v>0.06</v>
      </c>
      <c r="K49" s="24">
        <v>7.0000000000000007E-2</v>
      </c>
    </row>
    <row r="50" spans="1:11">
      <c r="A50" t="s">
        <v>243</v>
      </c>
      <c r="C50">
        <v>-0.20300000000000001</v>
      </c>
      <c r="D50">
        <v>-6.3E-2</v>
      </c>
      <c r="E50">
        <v>3.0000000000000001E-3</v>
      </c>
      <c r="F50">
        <v>0.05</v>
      </c>
      <c r="G50">
        <v>9.8000000000000004E-2</v>
      </c>
      <c r="H50" s="24">
        <v>0.158</v>
      </c>
      <c r="I50" s="24">
        <v>0.24399999999999999</v>
      </c>
      <c r="J50" s="24">
        <v>0.39800000000000002</v>
      </c>
      <c r="K50" s="24">
        <v>0.79700000000000004</v>
      </c>
    </row>
    <row r="51" spans="1:11">
      <c r="A51" t="s">
        <v>363</v>
      </c>
      <c r="B51">
        <v>6.9000000000000006E-2</v>
      </c>
      <c r="C51">
        <v>5.5E-2</v>
      </c>
      <c r="D51">
        <v>4.2000000000000003E-2</v>
      </c>
      <c r="E51" s="24">
        <v>3.2000000000000001E-2</v>
      </c>
      <c r="F51" s="24">
        <v>0.03</v>
      </c>
      <c r="G51" s="24">
        <v>0.03</v>
      </c>
      <c r="H51" s="24">
        <v>3.2000000000000001E-2</v>
      </c>
      <c r="I51" s="24">
        <v>4.2000000000000003E-2</v>
      </c>
      <c r="J51" s="24">
        <v>0.05</v>
      </c>
      <c r="K51" s="24">
        <v>6.5000000000000002E-2</v>
      </c>
    </row>
  </sheetData>
  <phoneticPr fontId="27" type="noConversion"/>
  <pageMargins left="0.75" right="0.75" top="1" bottom="1" header="0.5" footer="0.5"/>
  <colBreaks count="1" manualBreakCount="1">
    <brk id="15" max="1048575" man="1"/>
  </colBreaks>
  <ignoredErrors>
    <ignoredError sqref="B25:R32 C33:R33" formula="1"/>
    <ignoredError sqref="B33" formula="1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R49"/>
  <sheetViews>
    <sheetView zoomScale="125" workbookViewId="0">
      <pane xSplit="1" ySplit="11" topLeftCell="B12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8.83203125" defaultRowHeight="13"/>
  <cols>
    <col min="1" max="1" width="34.5" customWidth="1"/>
    <col min="2" max="6" width="10.6640625" customWidth="1"/>
    <col min="7" max="7" width="10.6640625" style="7" customWidth="1"/>
    <col min="8" max="18" width="10.6640625" customWidth="1"/>
  </cols>
  <sheetData>
    <row r="1" spans="1:18" ht="18">
      <c r="A1" s="170" t="s">
        <v>103</v>
      </c>
      <c r="B1" s="159"/>
      <c r="C1" s="158"/>
      <c r="D1" s="171"/>
      <c r="E1" s="158"/>
      <c r="F1" s="158"/>
      <c r="G1" s="158"/>
      <c r="H1" s="158"/>
      <c r="I1" s="158"/>
      <c r="J1" s="158"/>
      <c r="K1" s="159"/>
      <c r="L1" s="158"/>
      <c r="M1" s="158"/>
      <c r="N1" s="158"/>
      <c r="O1" s="158"/>
      <c r="P1" s="158"/>
      <c r="Q1" s="158"/>
      <c r="R1" s="158"/>
    </row>
    <row r="2" spans="1:18" ht="18" customHeight="1">
      <c r="A2" s="172"/>
      <c r="B2" s="172"/>
      <c r="C2" s="159"/>
      <c r="D2" s="159"/>
      <c r="E2" s="158"/>
      <c r="F2" s="158"/>
      <c r="G2" s="158"/>
      <c r="H2" s="158"/>
      <c r="I2" s="158"/>
      <c r="J2" s="158"/>
      <c r="K2" s="289"/>
      <c r="L2" s="290"/>
      <c r="M2" s="158"/>
      <c r="N2" s="158"/>
      <c r="O2" s="158"/>
      <c r="P2" s="158"/>
      <c r="Q2" s="158"/>
      <c r="R2" s="158"/>
    </row>
    <row r="3" spans="1:18">
      <c r="A3" s="173"/>
      <c r="B3" s="173"/>
      <c r="C3" s="166"/>
      <c r="D3" s="166"/>
      <c r="E3" s="164"/>
      <c r="F3" s="164"/>
      <c r="G3" s="164"/>
      <c r="H3" s="164"/>
      <c r="I3" s="164"/>
      <c r="J3" s="164"/>
      <c r="K3" s="169"/>
      <c r="L3" s="167"/>
      <c r="M3" s="164"/>
      <c r="N3" s="164"/>
      <c r="O3" s="164"/>
      <c r="P3" s="164"/>
      <c r="Q3" s="164"/>
      <c r="R3" s="164"/>
    </row>
    <row r="4" spans="1:18" hidden="1">
      <c r="A4" s="25"/>
      <c r="B4" s="97"/>
      <c r="C4" s="1"/>
      <c r="D4" s="1"/>
      <c r="K4" s="57"/>
      <c r="L4" s="2"/>
    </row>
    <row r="5" spans="1:18">
      <c r="A5" s="1" t="s">
        <v>412</v>
      </c>
      <c r="B5" s="64" t="str">
        <f>'Financial Statements'!B4</f>
        <v>KOHL'S CORP</v>
      </c>
      <c r="C5" s="1"/>
      <c r="D5" s="1"/>
      <c r="F5" s="65"/>
      <c r="M5" s="11"/>
    </row>
    <row r="6" spans="1:18">
      <c r="A6" s="76"/>
      <c r="B6" s="69"/>
      <c r="C6" s="71"/>
      <c r="D6" s="1"/>
      <c r="F6" s="7"/>
      <c r="G6" s="65"/>
      <c r="H6" s="65"/>
      <c r="I6" s="65"/>
      <c r="J6" s="65"/>
      <c r="K6" s="65"/>
      <c r="L6" s="65"/>
      <c r="M6" s="66"/>
      <c r="N6" s="66"/>
      <c r="O6" s="66"/>
      <c r="P6" s="66"/>
      <c r="Q6" s="67" t="s">
        <v>517</v>
      </c>
      <c r="R6" s="66"/>
    </row>
    <row r="7" spans="1:18">
      <c r="A7" s="147" t="str">
        <f ca="1">"Estimated Price/Share="&amp;DOLLAR('Model Summary'!B22)</f>
        <v>Estimated Price/Share=$78.20</v>
      </c>
      <c r="B7" s="13"/>
      <c r="C7" s="1"/>
      <c r="D7" s="1"/>
      <c r="E7" s="7"/>
      <c r="F7" s="7"/>
      <c r="G7" s="65"/>
      <c r="H7" s="65"/>
      <c r="I7" s="65"/>
      <c r="J7" s="65"/>
      <c r="K7" s="65"/>
      <c r="L7" s="65"/>
      <c r="M7" s="66"/>
      <c r="N7" s="66"/>
      <c r="O7" s="66"/>
      <c r="P7" s="66"/>
      <c r="Q7" s="67" t="s">
        <v>518</v>
      </c>
      <c r="R7" s="66"/>
    </row>
    <row r="8" spans="1:18" s="7" customFormat="1">
      <c r="A8" s="6"/>
      <c r="B8" s="96" t="s">
        <v>535</v>
      </c>
      <c r="C8" s="96" t="s">
        <v>535</v>
      </c>
      <c r="D8" s="96" t="s">
        <v>535</v>
      </c>
      <c r="E8" s="96" t="s">
        <v>535</v>
      </c>
      <c r="F8" s="96" t="s">
        <v>535</v>
      </c>
      <c r="G8" s="121" t="s">
        <v>536</v>
      </c>
      <c r="H8" s="121" t="s">
        <v>536</v>
      </c>
      <c r="I8" s="121" t="s">
        <v>536</v>
      </c>
      <c r="J8" s="121" t="s">
        <v>536</v>
      </c>
      <c r="K8" s="121" t="s">
        <v>536</v>
      </c>
      <c r="L8" s="121" t="s">
        <v>536</v>
      </c>
      <c r="M8" s="121" t="s">
        <v>536</v>
      </c>
      <c r="N8" s="121" t="s">
        <v>536</v>
      </c>
      <c r="O8" s="121" t="s">
        <v>536</v>
      </c>
      <c r="P8" s="121" t="s">
        <v>536</v>
      </c>
      <c r="Q8" s="121" t="s">
        <v>536</v>
      </c>
      <c r="R8" s="121" t="s">
        <v>536</v>
      </c>
    </row>
    <row r="9" spans="1:18" s="7" customFormat="1" ht="14" thickBot="1">
      <c r="A9" s="6" t="s">
        <v>534</v>
      </c>
      <c r="B9" s="258">
        <f>'Financial Statements'!B8</f>
        <v>37286</v>
      </c>
      <c r="C9" s="258">
        <f>'Financial Statements'!C8</f>
        <v>37651</v>
      </c>
      <c r="D9" s="258">
        <f>'Financial Statements'!D8</f>
        <v>38016</v>
      </c>
      <c r="E9" s="258">
        <f>'Financial Statements'!E8</f>
        <v>38382</v>
      </c>
      <c r="F9" s="258">
        <f>'Financial Statements'!F8</f>
        <v>38747</v>
      </c>
      <c r="G9" s="262">
        <f>'Financial Statements'!G8</f>
        <v>39112</v>
      </c>
      <c r="H9" s="262">
        <f>'Financial Statements'!H8</f>
        <v>39477</v>
      </c>
      <c r="I9" s="262">
        <f>'Financial Statements'!I8</f>
        <v>39843</v>
      </c>
      <c r="J9" s="262">
        <f>'Financial Statements'!J8</f>
        <v>40208</v>
      </c>
      <c r="K9" s="262">
        <f>'Financial Statements'!K8</f>
        <v>40573</v>
      </c>
      <c r="L9" s="262">
        <f>'Financial Statements'!L8</f>
        <v>40938</v>
      </c>
      <c r="M9" s="262">
        <f>'Financial Statements'!M8</f>
        <v>41304</v>
      </c>
      <c r="N9" s="262">
        <f>'Financial Statements'!N8</f>
        <v>41669</v>
      </c>
      <c r="O9" s="262">
        <f>'Financial Statements'!O8</f>
        <v>42034</v>
      </c>
      <c r="P9" s="262">
        <f>'Financial Statements'!P8</f>
        <v>42399</v>
      </c>
      <c r="Q9" s="262">
        <f>'Financial Statements'!Q8</f>
        <v>42765</v>
      </c>
      <c r="R9" s="262">
        <f>'Financial Statements'!R8</f>
        <v>43130</v>
      </c>
    </row>
    <row r="10" spans="1:18" s="7" customFormat="1">
      <c r="A10" s="6"/>
      <c r="B10" s="135"/>
      <c r="C10" s="135"/>
      <c r="D10" s="135"/>
      <c r="E10" s="135"/>
      <c r="F10" s="135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</row>
    <row r="11" spans="1:18" s="6" customFormat="1">
      <c r="A11" s="6" t="s">
        <v>253</v>
      </c>
      <c r="B11" s="137"/>
      <c r="C11" s="138">
        <f>'Financial Statements'!C29/(('Financial Statements'!C57+'Financial Statements'!B57)/2)</f>
        <v>0.19180116001295072</v>
      </c>
      <c r="D11" s="138">
        <f>'Financial Statements'!D29/(('Financial Statements'!D57+'Financial Statements'!C57)/2)</f>
        <v>0.18519456389484218</v>
      </c>
      <c r="E11" s="138">
        <f>'Financial Statements'!E29/(('Financial Statements'!E57+'Financial Statements'!D57)/2)</f>
        <v>0.13784399377505868</v>
      </c>
      <c r="F11" s="138">
        <f>'Financial Statements'!F29/(('Financial Statements'!F57+'Financial Statements'!E57)/2)</f>
        <v>0.13582785087719298</v>
      </c>
      <c r="G11" s="139">
        <f>'Financial Statements'!G29/(('Financial Statements'!G57+'Financial Statements'!F57)/2)</f>
        <v>0.13028187492812091</v>
      </c>
      <c r="H11" s="139">
        <f>'Financial Statements'!H29/(('Financial Statements'!H57+'Financial Statements'!G57)/2)</f>
        <v>0.13013705488032362</v>
      </c>
      <c r="I11" s="139">
        <f>'Financial Statements'!I29/(('Financial Statements'!I57+'Financial Statements'!H57)/2)</f>
        <v>0.12999200103354086</v>
      </c>
      <c r="J11" s="139">
        <f>'Financial Statements'!J29/(('Financial Statements'!J57+'Financial Statements'!I57)/2)</f>
        <v>0.1298467128211441</v>
      </c>
      <c r="K11" s="139">
        <f>'Financial Statements'!K29/(('Financial Statements'!K57+'Financial Statements'!J57)/2)</f>
        <v>0.12970118967467209</v>
      </c>
      <c r="L11" s="139">
        <f>'Financial Statements'!L29/(('Financial Statements'!L57+'Financial Statements'!K57)/2)</f>
        <v>0.12955543102382377</v>
      </c>
      <c r="M11" s="139">
        <f>'Financial Statements'!M29/(('Financial Statements'!M57+'Financial Statements'!L57)/2)</f>
        <v>0.12940943629645088</v>
      </c>
      <c r="N11" s="139">
        <f>'Financial Statements'!N29/(('Financial Statements'!N57+'Financial Statements'!M57)/2)</f>
        <v>0.12926320491855001</v>
      </c>
      <c r="O11" s="139">
        <f>'Financial Statements'!O29/(('Financial Statements'!O57+'Financial Statements'!N57)/2)</f>
        <v>0.12911673631425549</v>
      </c>
      <c r="P11" s="139">
        <f>'Financial Statements'!P29/(('Financial Statements'!P57+'Financial Statements'!O57)/2)</f>
        <v>0.12897002990583176</v>
      </c>
      <c r="Q11" s="139">
        <f>'Financial Statements'!Q29/(('Financial Statements'!Q57+'Financial Statements'!P57)/2)</f>
        <v>0.12882308511366586</v>
      </c>
      <c r="R11" s="139">
        <f>'Financial Statements'!R29/(('Financial Statements'!R57+'Financial Statements'!Q57)/2)</f>
        <v>0.12882308511366586</v>
      </c>
    </row>
    <row r="12" spans="1:18">
      <c r="A12" s="1"/>
      <c r="B12" s="36"/>
      <c r="C12" s="36"/>
      <c r="D12" s="36"/>
      <c r="E12" s="23"/>
      <c r="F12" s="23"/>
      <c r="G12" s="65"/>
      <c r="H12" s="65"/>
      <c r="I12" s="65"/>
      <c r="J12" s="65"/>
      <c r="K12" s="65"/>
      <c r="L12" s="65"/>
      <c r="M12" s="66"/>
      <c r="N12" s="66"/>
      <c r="O12" s="66"/>
      <c r="P12" s="66"/>
      <c r="Q12" s="67"/>
      <c r="R12" s="66"/>
    </row>
    <row r="13" spans="1:18">
      <c r="A13" s="76" t="s">
        <v>220</v>
      </c>
      <c r="B13" s="36"/>
      <c r="C13" s="36"/>
      <c r="D13" s="36"/>
      <c r="E13" s="16"/>
      <c r="F13" s="16"/>
      <c r="G13" s="65"/>
      <c r="H13" s="65"/>
      <c r="I13" s="65"/>
      <c r="J13" s="65"/>
      <c r="K13" s="65"/>
      <c r="L13" s="65"/>
      <c r="M13" s="66"/>
      <c r="N13" s="66"/>
      <c r="O13" s="66"/>
      <c r="P13" s="66"/>
      <c r="Q13" s="67"/>
      <c r="R13" s="66"/>
    </row>
    <row r="14" spans="1:18">
      <c r="A14" t="s">
        <v>414</v>
      </c>
      <c r="B14" s="17"/>
      <c r="C14" s="17">
        <f>'Financial Statements'!C12/'Financial Statements'!B12-1</f>
        <v>0.15982184141623734</v>
      </c>
      <c r="D14" s="17">
        <f>'Financial Statements'!D12/'Financial Statements'!C12-1</f>
        <v>5.9800501589533317E-2</v>
      </c>
      <c r="E14" s="17">
        <f>'Financial Statements'!E12/'Financial Statements'!D12-1</f>
        <v>-5.1435818983115444E-3</v>
      </c>
      <c r="F14" s="17">
        <f>'Financial Statements'!F12/'Financial Statements'!E12-1</f>
        <v>4.8142046494600077E-2</v>
      </c>
      <c r="G14" s="61">
        <f>F14-($F14-$Q14)/11</f>
        <v>4.6492769540545521E-2</v>
      </c>
      <c r="H14" s="61">
        <f>G14-($G14-$Q14)/10</f>
        <v>4.4843492586490966E-2</v>
      </c>
      <c r="I14" s="61">
        <f>H14-($H14-$Q14)/9</f>
        <v>4.3194215632436417E-2</v>
      </c>
      <c r="J14" s="61">
        <f>I14-($I14-$Q14)/8</f>
        <v>4.1544938678381868E-2</v>
      </c>
      <c r="K14" s="61">
        <f>J14-($J14-$Q14)/7</f>
        <v>3.9895661724327312E-2</v>
      </c>
      <c r="L14" s="61">
        <f>K14-($K14-$Q14)/6</f>
        <v>3.8246384770272757E-2</v>
      </c>
      <c r="M14" s="61">
        <f>L14-($L14-$Q14)/5</f>
        <v>3.6597107816218208E-2</v>
      </c>
      <c r="N14" s="61">
        <f>M14-($M14-$Q14)/4</f>
        <v>3.4947830862163659E-2</v>
      </c>
      <c r="O14" s="61">
        <f>N14-($N14-$Q14)/3</f>
        <v>3.3298553908109103E-2</v>
      </c>
      <c r="P14" s="61">
        <f>O14-($O14-$Q14)/2</f>
        <v>3.1649276954054548E-2</v>
      </c>
      <c r="Q14" s="61">
        <v>0.03</v>
      </c>
      <c r="R14" s="68">
        <f>$Q14</f>
        <v>0.03</v>
      </c>
    </row>
    <row r="15" spans="1:18">
      <c r="A15" t="s">
        <v>415</v>
      </c>
      <c r="B15" s="17">
        <f>-'Financial Statements'!B13/'Financial Statements'!B12</f>
        <v>0.64694400933815654</v>
      </c>
      <c r="C15" s="17">
        <f>-'Financial Statements'!C13/'Financial Statements'!C12</f>
        <v>0.63628383451971493</v>
      </c>
      <c r="D15" s="17">
        <f>-'Financial Statements'!D13/'Financial Statements'!D12</f>
        <v>0.63492278071261798</v>
      </c>
      <c r="E15" s="17">
        <f>-'Financial Statements'!E13/'Financial Statements'!E12</f>
        <v>0.63054487766184641</v>
      </c>
      <c r="F15" s="17">
        <f>-'Financial Statements'!F13/'Financial Statements'!F12</f>
        <v>0.6217254628012574</v>
      </c>
      <c r="G15" s="61">
        <f>F15-($F15-$Q15)/11</f>
        <v>0.6217254628012574</v>
      </c>
      <c r="H15" s="61">
        <f>G15-($G15-$Q15)/10</f>
        <v>0.6217254628012574</v>
      </c>
      <c r="I15" s="61">
        <f>H15-($H15-$Q15)/9</f>
        <v>0.6217254628012574</v>
      </c>
      <c r="J15" s="61">
        <f>I15-($I15-$Q15)/8</f>
        <v>0.6217254628012574</v>
      </c>
      <c r="K15" s="61">
        <f>J15-($J15-$Q15)/7</f>
        <v>0.6217254628012574</v>
      </c>
      <c r="L15" s="61">
        <f>K15-($K15-$Q15)/6</f>
        <v>0.6217254628012574</v>
      </c>
      <c r="M15" s="61">
        <f>L15-($L15-$Q15)/5</f>
        <v>0.6217254628012574</v>
      </c>
      <c r="N15" s="61">
        <f>M15-($M15-$Q15)/4</f>
        <v>0.6217254628012574</v>
      </c>
      <c r="O15" s="61">
        <f>N15-($N15-$Q15)/3</f>
        <v>0.6217254628012574</v>
      </c>
      <c r="P15" s="61">
        <f>O15-($O15-$Q15)/2</f>
        <v>0.6217254628012574</v>
      </c>
      <c r="Q15" s="61">
        <f>$F15</f>
        <v>0.6217254628012574</v>
      </c>
      <c r="R15" s="68">
        <f t="shared" ref="R15:R25" si="0">$Q15</f>
        <v>0.6217254628012574</v>
      </c>
    </row>
    <row r="16" spans="1:18">
      <c r="A16" t="s">
        <v>554</v>
      </c>
      <c r="B16" s="37">
        <f>-'Financial Statements'!B15/'Financial Statements'!B12</f>
        <v>0</v>
      </c>
      <c r="C16" s="37">
        <f>-'Financial Statements'!C15/'Financial Statements'!C12</f>
        <v>0</v>
      </c>
      <c r="D16" s="37">
        <f>-'Financial Statements'!D15/'Financial Statements'!D12</f>
        <v>0</v>
      </c>
      <c r="E16" s="37">
        <f>-'Financial Statements'!E15/'Financial Statements'!E12</f>
        <v>0</v>
      </c>
      <c r="F16" s="37">
        <f>-'Financial Statements'!F15/'Financial Statements'!F12</f>
        <v>0</v>
      </c>
      <c r="G16" s="61">
        <f t="shared" ref="G16:G22" si="1">F16-($F16-$Q16)/11</f>
        <v>0</v>
      </c>
      <c r="H16" s="61">
        <f t="shared" ref="H16:H22" si="2">G16-($G16-$Q16)/10</f>
        <v>0</v>
      </c>
      <c r="I16" s="61">
        <f t="shared" ref="I16:I22" si="3">H16-($H16-$Q16)/9</f>
        <v>0</v>
      </c>
      <c r="J16" s="61">
        <f t="shared" ref="J16:J22" si="4">I16-($I16-$Q16)/8</f>
        <v>0</v>
      </c>
      <c r="K16" s="61">
        <f t="shared" ref="K16:K22" si="5">J16-($J16-$Q16)/7</f>
        <v>0</v>
      </c>
      <c r="L16" s="61">
        <f t="shared" ref="L16:L22" si="6">K16-($K16-$Q16)/6</f>
        <v>0</v>
      </c>
      <c r="M16" s="61">
        <f t="shared" ref="M16:M22" si="7">L16-($L16-$Q16)/5</f>
        <v>0</v>
      </c>
      <c r="N16" s="61">
        <f t="shared" ref="N16:N22" si="8">M16-($M16-$Q16)/4</f>
        <v>0</v>
      </c>
      <c r="O16" s="61">
        <f t="shared" ref="O16:O22" si="9">N16-($N16-$Q16)/3</f>
        <v>0</v>
      </c>
      <c r="P16" s="61">
        <f t="shared" ref="P16:P22" si="10">O16-($O16-$Q16)/2</f>
        <v>0</v>
      </c>
      <c r="Q16" s="61">
        <f t="shared" ref="Q16:Q22" si="11">$F16</f>
        <v>0</v>
      </c>
      <c r="R16" s="68">
        <f t="shared" si="0"/>
        <v>0</v>
      </c>
    </row>
    <row r="17" spans="1:18">
      <c r="A17" t="s">
        <v>544</v>
      </c>
      <c r="B17" s="17">
        <f>-'Financial Statements'!B16/'Financial Statements'!B12</f>
        <v>0.22442868967126856</v>
      </c>
      <c r="C17" s="17">
        <f>-'Financial Statements'!C16/'Financial Statements'!C12</f>
        <v>0.222024906550257</v>
      </c>
      <c r="D17" s="17">
        <f>-'Financial Statements'!D16/'Financial Statements'!D12</f>
        <v>0.22809418921053357</v>
      </c>
      <c r="E17" s="17">
        <f>-'Financial Statements'!E16/'Financial Statements'!E12</f>
        <v>0.24272377814387699</v>
      </c>
      <c r="F17" s="17">
        <f>-'Financial Statements'!F16/'Financial Statements'!F12</f>
        <v>0.24426592152753521</v>
      </c>
      <c r="G17" s="61">
        <f t="shared" si="1"/>
        <v>0.24426592152753521</v>
      </c>
      <c r="H17" s="61">
        <f t="shared" si="2"/>
        <v>0.24426592152753521</v>
      </c>
      <c r="I17" s="61">
        <f t="shared" si="3"/>
        <v>0.24426592152753521</v>
      </c>
      <c r="J17" s="61">
        <f t="shared" si="4"/>
        <v>0.24426592152753521</v>
      </c>
      <c r="K17" s="61">
        <f t="shared" si="5"/>
        <v>0.24426592152753521</v>
      </c>
      <c r="L17" s="61">
        <f t="shared" si="6"/>
        <v>0.24426592152753521</v>
      </c>
      <c r="M17" s="61">
        <f t="shared" si="7"/>
        <v>0.24426592152753521</v>
      </c>
      <c r="N17" s="61">
        <f t="shared" si="8"/>
        <v>0.24426592152753521</v>
      </c>
      <c r="O17" s="61">
        <f t="shared" si="9"/>
        <v>0.24426592152753521</v>
      </c>
      <c r="P17" s="61">
        <f t="shared" si="10"/>
        <v>0.24426592152753521</v>
      </c>
      <c r="Q17" s="61">
        <f t="shared" si="11"/>
        <v>0.24426592152753521</v>
      </c>
      <c r="R17" s="68">
        <f t="shared" si="0"/>
        <v>0.24426592152753521</v>
      </c>
    </row>
    <row r="18" spans="1:18">
      <c r="A18" t="s">
        <v>555</v>
      </c>
      <c r="B18" s="17"/>
      <c r="C18" s="17">
        <f>IF((('Financial Statements'!B38+'Financial Statements'!C38+'Financial Statements'!B40+'Financial Statements'!C40)/2)=0,0,-'Financial Statements'!C18/(('Financial Statements'!B38+'Financial Statements'!C38+'Financial Statements'!B40+'Financial Statements'!C40)/2))</f>
        <v>7.4933498583377764E-2</v>
      </c>
      <c r="D18" s="17">
        <f>IF((('Financial Statements'!C38+'Financial Statements'!D38+'Financial Statements'!C40+'Financial Statements'!D40)/2)=0,0,-'Financial Statements'!D18/(('Financial Statements'!C38+'Financial Statements'!D38+'Financial Statements'!C40+'Financial Statements'!D40)/2))</f>
        <v>7.3455534216417845E-2</v>
      </c>
      <c r="E18" s="17">
        <f>IF((('Financial Statements'!D38+'Financial Statements'!E38+'Financial Statements'!D40+'Financial Statements'!E40)/2)=0,0,-'Financial Statements'!E18/(('Financial Statements'!D38+'Financial Statements'!E38+'Financial Statements'!D40+'Financial Statements'!E40)/2))</f>
        <v>7.7712494653674843E-2</v>
      </c>
      <c r="F18" s="17">
        <f>IF((('Financial Statements'!E38+'Financial Statements'!F38+'Financial Statements'!E40+'Financial Statements'!F40)/2)=0,0,-'Financial Statements'!F18/(('Financial Statements'!E38+'Financial Statements'!F38+'Financial Statements'!E40+'Financial Statements'!F40)/2))</f>
        <v>8.1853496115427304E-2</v>
      </c>
      <c r="G18" s="61">
        <f t="shared" si="1"/>
        <v>8.1853496115427304E-2</v>
      </c>
      <c r="H18" s="61">
        <f t="shared" si="2"/>
        <v>8.1853496115427304E-2</v>
      </c>
      <c r="I18" s="61">
        <f t="shared" si="3"/>
        <v>8.1853496115427304E-2</v>
      </c>
      <c r="J18" s="61">
        <f t="shared" si="4"/>
        <v>8.1853496115427304E-2</v>
      </c>
      <c r="K18" s="61">
        <f t="shared" si="5"/>
        <v>8.1853496115427304E-2</v>
      </c>
      <c r="L18" s="61">
        <f t="shared" si="6"/>
        <v>8.1853496115427304E-2</v>
      </c>
      <c r="M18" s="61">
        <f t="shared" si="7"/>
        <v>8.1853496115427304E-2</v>
      </c>
      <c r="N18" s="61">
        <f t="shared" si="8"/>
        <v>8.1853496115427304E-2</v>
      </c>
      <c r="O18" s="61">
        <f t="shared" si="9"/>
        <v>8.1853496115427304E-2</v>
      </c>
      <c r="P18" s="61">
        <f t="shared" si="10"/>
        <v>8.1853496115427304E-2</v>
      </c>
      <c r="Q18" s="61">
        <f t="shared" si="11"/>
        <v>8.1853496115427304E-2</v>
      </c>
      <c r="R18" s="68">
        <f t="shared" si="0"/>
        <v>8.1853496115427304E-2</v>
      </c>
    </row>
    <row r="19" spans="1:18">
      <c r="A19" t="s">
        <v>89</v>
      </c>
      <c r="B19" s="17"/>
      <c r="C19" s="17">
        <f>IF((('Financial Statements'!B44+'Financial Statements'!C44+'Financial Statements'!C49+'Financial Statements'!B49)/2)=0,0,-'Financial Statements'!C20/(('Financial Statements'!B44+'Financial Statements'!C44+'Financial Statements'!C49+'Financial Statements'!B49)/2))</f>
        <v>6.7265175831460633E-2</v>
      </c>
      <c r="D19" s="17">
        <f>IF((('Financial Statements'!C44+'Financial Statements'!D44+'Financial Statements'!D49+'Financial Statements'!C49)/2)=0,0,-'Financial Statements'!D20/(('Financial Statements'!C44+'Financial Statements'!D44+'Financial Statements'!D49+'Financial Statements'!C49)/2))</f>
        <v>6.3206545020064203E-2</v>
      </c>
      <c r="E19" s="17">
        <f>IF((('Financial Statements'!D44+'Financial Statements'!E44+'Financial Statements'!E49+'Financial Statements'!D49)/2)=0,0,-'Financial Statements'!E20/(('Financial Statements'!D44+'Financial Statements'!E44+'Financial Statements'!E49+'Financial Statements'!D49)/2))</f>
        <v>6.772157531993607E-2</v>
      </c>
      <c r="F19" s="17">
        <f>IF((('Financial Statements'!E44+'Financial Statements'!F44+'Financial Statements'!F49+'Financial Statements'!E49)/2)=0,0,-'Financial Statements'!F20/(('Financial Statements'!E44+'Financial Statements'!F44+'Financial Statements'!F49+'Financial Statements'!E49)/2))</f>
        <v>6.4765587240212669E-2</v>
      </c>
      <c r="G19" s="61">
        <f t="shared" si="1"/>
        <v>6.4765587240212669E-2</v>
      </c>
      <c r="H19" s="61">
        <f t="shared" si="2"/>
        <v>6.4765587240212669E-2</v>
      </c>
      <c r="I19" s="61">
        <f t="shared" si="3"/>
        <v>6.4765587240212669E-2</v>
      </c>
      <c r="J19" s="61">
        <f t="shared" si="4"/>
        <v>6.4765587240212669E-2</v>
      </c>
      <c r="K19" s="61">
        <f t="shared" si="5"/>
        <v>6.4765587240212669E-2</v>
      </c>
      <c r="L19" s="61">
        <f t="shared" si="6"/>
        <v>6.4765587240212669E-2</v>
      </c>
      <c r="M19" s="61">
        <f t="shared" si="7"/>
        <v>6.4765587240212669E-2</v>
      </c>
      <c r="N19" s="61">
        <f t="shared" si="8"/>
        <v>6.4765587240212669E-2</v>
      </c>
      <c r="O19" s="61">
        <f t="shared" si="9"/>
        <v>6.4765587240212669E-2</v>
      </c>
      <c r="P19" s="61">
        <f t="shared" si="10"/>
        <v>6.4765587240212669E-2</v>
      </c>
      <c r="Q19" s="61">
        <f t="shared" si="11"/>
        <v>6.4765587240212669E-2</v>
      </c>
      <c r="R19" s="68">
        <f t="shared" si="0"/>
        <v>6.4765587240212669E-2</v>
      </c>
    </row>
    <row r="20" spans="1:18" s="4" customFormat="1">
      <c r="A20" s="4" t="s">
        <v>158</v>
      </c>
      <c r="B20" s="17">
        <f>'Financial Statements'!B21/'Financial Statements'!B12</f>
        <v>6.7093377162897748E-4</v>
      </c>
      <c r="C20" s="17">
        <f>'Financial Statements'!C21/'Financial Statements'!C12</f>
        <v>2.1918808989909023E-3</v>
      </c>
      <c r="D20" s="17">
        <f>'Financial Statements'!D21/'Financial Statements'!D12</f>
        <v>2.2032649064261936E-3</v>
      </c>
      <c r="E20" s="17">
        <f>'Financial Statements'!E21/'Financial Statements'!E12</f>
        <v>1.7694795289523461E-3</v>
      </c>
      <c r="F20" s="17">
        <f>'Financial Statements'!F21/'Financial Statements'!F12</f>
        <v>5.821399464431249E-4</v>
      </c>
      <c r="G20" s="61">
        <f t="shared" si="1"/>
        <v>5.821399464431249E-4</v>
      </c>
      <c r="H20" s="61">
        <f t="shared" si="2"/>
        <v>5.821399464431249E-4</v>
      </c>
      <c r="I20" s="61">
        <f t="shared" si="3"/>
        <v>5.821399464431249E-4</v>
      </c>
      <c r="J20" s="61">
        <f t="shared" si="4"/>
        <v>5.821399464431249E-4</v>
      </c>
      <c r="K20" s="61">
        <f t="shared" si="5"/>
        <v>5.821399464431249E-4</v>
      </c>
      <c r="L20" s="61">
        <f t="shared" si="6"/>
        <v>5.821399464431249E-4</v>
      </c>
      <c r="M20" s="61">
        <f t="shared" si="7"/>
        <v>5.821399464431249E-4</v>
      </c>
      <c r="N20" s="61">
        <f t="shared" si="8"/>
        <v>5.821399464431249E-4</v>
      </c>
      <c r="O20" s="61">
        <f t="shared" si="9"/>
        <v>5.821399464431249E-4</v>
      </c>
      <c r="P20" s="61">
        <f t="shared" si="10"/>
        <v>5.821399464431249E-4</v>
      </c>
      <c r="Q20" s="61">
        <f t="shared" si="11"/>
        <v>5.821399464431249E-4</v>
      </c>
      <c r="R20" s="68">
        <f t="shared" si="0"/>
        <v>5.821399464431249E-4</v>
      </c>
    </row>
    <row r="21" spans="1:18">
      <c r="A21" t="s">
        <v>545</v>
      </c>
      <c r="B21" s="17">
        <f>IF('Financial Statements'!B22=0,0,-'Financial Statements'!B23/'Financial Statements'!B22)</f>
        <v>0.37437490247364003</v>
      </c>
      <c r="C21" s="17">
        <f>IF('Financial Statements'!C22=0,0,-'Financial Statements'!C23/'Financial Statements'!C22)</f>
        <v>0.37519562454739369</v>
      </c>
      <c r="D21" s="17">
        <f>IF('Financial Statements'!D22=0,0,-'Financial Statements'!D23/'Financial Statements'!D22)</f>
        <v>0.37783407125238438</v>
      </c>
      <c r="E21" s="17">
        <f>IF('Financial Statements'!E22=0,0,-'Financial Statements'!E23/'Financial Statements'!E22)</f>
        <v>0.37894736842105264</v>
      </c>
      <c r="F21" s="17">
        <f>IF('Financial Statements'!F22=0,0,-'Financial Statements'!F23/'Financial Statements'!F22)</f>
        <v>0.37594458438287154</v>
      </c>
      <c r="G21" s="61">
        <f t="shared" si="1"/>
        <v>0.37594458438287154</v>
      </c>
      <c r="H21" s="61">
        <f t="shared" si="2"/>
        <v>0.37594458438287154</v>
      </c>
      <c r="I21" s="61">
        <f t="shared" si="3"/>
        <v>0.37594458438287154</v>
      </c>
      <c r="J21" s="61">
        <f t="shared" si="4"/>
        <v>0.37594458438287154</v>
      </c>
      <c r="K21" s="61">
        <f t="shared" si="5"/>
        <v>0.37594458438287154</v>
      </c>
      <c r="L21" s="61">
        <f t="shared" si="6"/>
        <v>0.37594458438287154</v>
      </c>
      <c r="M21" s="61">
        <f t="shared" si="7"/>
        <v>0.37594458438287154</v>
      </c>
      <c r="N21" s="61">
        <f t="shared" si="8"/>
        <v>0.37594458438287154</v>
      </c>
      <c r="O21" s="61">
        <f t="shared" si="9"/>
        <v>0.37594458438287154</v>
      </c>
      <c r="P21" s="61">
        <f t="shared" si="10"/>
        <v>0.37594458438287154</v>
      </c>
      <c r="Q21" s="61">
        <f t="shared" si="11"/>
        <v>0.37594458438287154</v>
      </c>
      <c r="R21" s="68">
        <f t="shared" si="0"/>
        <v>0.37594458438287154</v>
      </c>
    </row>
    <row r="22" spans="1:18">
      <c r="A22" t="s">
        <v>227</v>
      </c>
      <c r="B22" s="17">
        <f>IF(('Financial Statements'!B22+'Financial Statements'!B23)=0,0,-'Financial Statements'!B27/('Financial Statements'!B22+'Financial Statements'!B23))</f>
        <v>0</v>
      </c>
      <c r="C22" s="17">
        <f>IF(('Financial Statements'!C22+'Financial Statements'!C23)=0,0,-'Financial Statements'!C27/('Financial Statements'!C22+'Financial Statements'!C23))</f>
        <v>0</v>
      </c>
      <c r="D22" s="17">
        <f>IF(('Financial Statements'!D22+'Financial Statements'!D23)=0,0,-'Financial Statements'!D27/('Financial Statements'!D22+'Financial Statements'!D23))</f>
        <v>0</v>
      </c>
      <c r="E22" s="17">
        <f>IF(('Financial Statements'!E22+'Financial Statements'!E23)=0,0,-'Financial Statements'!E27/('Financial Statements'!E22+'Financial Statements'!E23))</f>
        <v>0</v>
      </c>
      <c r="F22" s="17">
        <f>IF(('Financial Statements'!F22+'Financial Statements'!F23)=0,0,-'Financial Statements'!F27/('Financial Statements'!F22+'Financial Statements'!F23))</f>
        <v>0</v>
      </c>
      <c r="G22" s="61">
        <f t="shared" si="1"/>
        <v>0</v>
      </c>
      <c r="H22" s="61">
        <f t="shared" si="2"/>
        <v>0</v>
      </c>
      <c r="I22" s="61">
        <f t="shared" si="3"/>
        <v>0</v>
      </c>
      <c r="J22" s="61">
        <f t="shared" si="4"/>
        <v>0</v>
      </c>
      <c r="K22" s="61">
        <f t="shared" si="5"/>
        <v>0</v>
      </c>
      <c r="L22" s="61">
        <f t="shared" si="6"/>
        <v>0</v>
      </c>
      <c r="M22" s="61">
        <f t="shared" si="7"/>
        <v>0</v>
      </c>
      <c r="N22" s="61">
        <f t="shared" si="8"/>
        <v>0</v>
      </c>
      <c r="O22" s="61">
        <f t="shared" si="9"/>
        <v>0</v>
      </c>
      <c r="P22" s="61">
        <f t="shared" si="10"/>
        <v>0</v>
      </c>
      <c r="Q22" s="61">
        <f t="shared" si="11"/>
        <v>0</v>
      </c>
      <c r="R22" s="68">
        <f t="shared" si="0"/>
        <v>0</v>
      </c>
    </row>
    <row r="23" spans="1:18" s="4" customFormat="1">
      <c r="A23" s="4" t="s">
        <v>272</v>
      </c>
      <c r="B23" s="17">
        <f>'Financial Statements'!B24/'Financial Statements'!B12</f>
        <v>0</v>
      </c>
      <c r="C23" s="17">
        <f>'Financial Statements'!C24/'Financial Statements'!C12</f>
        <v>0</v>
      </c>
      <c r="D23" s="17">
        <f>'Financial Statements'!D24/'Financial Statements'!D12</f>
        <v>0</v>
      </c>
      <c r="E23" s="17">
        <f>'Financial Statements'!E24/'Financial Statements'!E12</f>
        <v>0</v>
      </c>
      <c r="F23" s="17">
        <f>'Financial Statements'!F24/'Financial Statements'!F12</f>
        <v>0</v>
      </c>
      <c r="G23" s="61">
        <v>0</v>
      </c>
      <c r="H23" s="61">
        <f t="shared" ref="H23:Q24" si="12">G23</f>
        <v>0</v>
      </c>
      <c r="I23" s="61">
        <f t="shared" si="12"/>
        <v>0</v>
      </c>
      <c r="J23" s="61">
        <f t="shared" si="12"/>
        <v>0</v>
      </c>
      <c r="K23" s="61">
        <f t="shared" si="12"/>
        <v>0</v>
      </c>
      <c r="L23" s="61">
        <f t="shared" si="12"/>
        <v>0</v>
      </c>
      <c r="M23" s="61">
        <f t="shared" si="12"/>
        <v>0</v>
      </c>
      <c r="N23" s="61">
        <f t="shared" si="12"/>
        <v>0</v>
      </c>
      <c r="O23" s="61">
        <f t="shared" si="12"/>
        <v>0</v>
      </c>
      <c r="P23" s="61">
        <f t="shared" si="12"/>
        <v>0</v>
      </c>
      <c r="Q23" s="61">
        <f t="shared" si="12"/>
        <v>0</v>
      </c>
      <c r="R23" s="68">
        <f t="shared" si="0"/>
        <v>0</v>
      </c>
    </row>
    <row r="24" spans="1:18" s="4" customFormat="1">
      <c r="A24" s="5" t="s">
        <v>332</v>
      </c>
      <c r="B24" s="17">
        <f>'Financial Statements'!B26/'Financial Statements'!B12</f>
        <v>0</v>
      </c>
      <c r="C24" s="17">
        <f>'Financial Statements'!C26/'Financial Statements'!C12</f>
        <v>0</v>
      </c>
      <c r="D24" s="17">
        <f>'Financial Statements'!D26/'Financial Statements'!D12</f>
        <v>0</v>
      </c>
      <c r="E24" s="17">
        <f>'Financial Statements'!E26/'Financial Statements'!E12</f>
        <v>0</v>
      </c>
      <c r="F24" s="17">
        <f>'Financial Statements'!F26/'Financial Statements'!F12</f>
        <v>0</v>
      </c>
      <c r="G24" s="61">
        <v>0</v>
      </c>
      <c r="H24" s="61">
        <f t="shared" si="12"/>
        <v>0</v>
      </c>
      <c r="I24" s="61">
        <f t="shared" si="12"/>
        <v>0</v>
      </c>
      <c r="J24" s="61">
        <f t="shared" si="12"/>
        <v>0</v>
      </c>
      <c r="K24" s="61">
        <f t="shared" si="12"/>
        <v>0</v>
      </c>
      <c r="L24" s="61">
        <f t="shared" si="12"/>
        <v>0</v>
      </c>
      <c r="M24" s="61">
        <f t="shared" si="12"/>
        <v>0</v>
      </c>
      <c r="N24" s="61">
        <f t="shared" si="12"/>
        <v>0</v>
      </c>
      <c r="O24" s="61">
        <f t="shared" si="12"/>
        <v>0</v>
      </c>
      <c r="P24" s="61">
        <f t="shared" si="12"/>
        <v>0</v>
      </c>
      <c r="Q24" s="61">
        <f t="shared" si="12"/>
        <v>0</v>
      </c>
      <c r="R24" s="68">
        <f t="shared" si="0"/>
        <v>0</v>
      </c>
    </row>
    <row r="25" spans="1:18" s="4" customFormat="1">
      <c r="A25" s="5" t="s">
        <v>333</v>
      </c>
      <c r="B25" s="17"/>
      <c r="C25" s="17">
        <f>IF((('Financial Statements'!C54+'Financial Statements'!B54)/2)=0,0,-'Financial Statements'!C28/(('Financial Statements'!C54+'Financial Statements'!B54)/2))</f>
        <v>0</v>
      </c>
      <c r="D25" s="17">
        <f>IF((('Financial Statements'!D54+'Financial Statements'!C54)/2)=0,0,-'Financial Statements'!D28/(('Financial Statements'!D54+'Financial Statements'!C54)/2))</f>
        <v>0</v>
      </c>
      <c r="E25" s="17">
        <f>IF((('Financial Statements'!E54+'Financial Statements'!D54)/2)=0,0,-'Financial Statements'!E28/(('Financial Statements'!E54+'Financial Statements'!D54)/2))</f>
        <v>0</v>
      </c>
      <c r="F25" s="17">
        <f>IF((('Financial Statements'!F54+'Financial Statements'!E54)/2)=0,0,-'Financial Statements'!F28/(('Financial Statements'!F54+'Financial Statements'!E54)/2))</f>
        <v>0</v>
      </c>
      <c r="G25" s="61">
        <f>F25-($F25-$Q25)/11</f>
        <v>0</v>
      </c>
      <c r="H25" s="61">
        <f>G25-($G25-$Q25)/10</f>
        <v>0</v>
      </c>
      <c r="I25" s="61">
        <f>H25-($H25-$Q25)/9</f>
        <v>0</v>
      </c>
      <c r="J25" s="61">
        <f>I25-($I25-$Q25)/8</f>
        <v>0</v>
      </c>
      <c r="K25" s="61">
        <f>J25-($J25-$Q25)/7</f>
        <v>0</v>
      </c>
      <c r="L25" s="61">
        <f>K25-($K25-$Q25)/6</f>
        <v>0</v>
      </c>
      <c r="M25" s="61">
        <f>L25-($L25-$Q25)/5</f>
        <v>0</v>
      </c>
      <c r="N25" s="61">
        <f>M25-($M25-$Q25)/4</f>
        <v>0</v>
      </c>
      <c r="O25" s="61">
        <f>N25-($N25-$Q25)/3</f>
        <v>0</v>
      </c>
      <c r="P25" s="61">
        <f>O25-($O25-$Q25)/2</f>
        <v>0</v>
      </c>
      <c r="Q25" s="61">
        <f>$F25</f>
        <v>0</v>
      </c>
      <c r="R25" s="68">
        <f t="shared" si="0"/>
        <v>0</v>
      </c>
    </row>
    <row r="26" spans="1:18">
      <c r="B26" s="32"/>
      <c r="C26" s="32"/>
      <c r="D26" s="32"/>
      <c r="E26" s="32"/>
      <c r="F26" s="32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1:18">
      <c r="A27" s="76" t="s">
        <v>221</v>
      </c>
      <c r="B27" s="36"/>
      <c r="C27" s="36"/>
      <c r="D27" s="36"/>
      <c r="E27" s="36"/>
      <c r="F27" s="36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>
      <c r="A28" s="76" t="s">
        <v>265</v>
      </c>
      <c r="B28" s="36"/>
      <c r="C28" s="36"/>
      <c r="D28" s="36"/>
      <c r="E28" s="36"/>
      <c r="F28" s="36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1:18">
      <c r="A29" t="s">
        <v>416</v>
      </c>
      <c r="B29" s="17">
        <f>'Financial Statements'!B33/'Financial Statements'!B12</f>
        <v>2.1408099868850058E-2</v>
      </c>
      <c r="C29" s="17">
        <f>'Financial Statements'!C33/'Financial Statements'!C12</f>
        <v>3.9912033980040382E-2</v>
      </c>
      <c r="D29" s="17">
        <f>'Financial Statements'!D33/'Financial Statements'!D12</f>
        <v>4.0286616258341915E-2</v>
      </c>
      <c r="E29" s="17">
        <f>'Financial Statements'!E33/'Financial Statements'!E12</f>
        <v>4.1247177985234001E-2</v>
      </c>
      <c r="F29" s="17">
        <f>'Financial Statements'!F33/'Financial Statements'!F12</f>
        <v>0.13197112585865642</v>
      </c>
      <c r="G29" s="61">
        <f t="shared" ref="G29:G35" si="13">F29-($F29-$Q29)/11</f>
        <v>0.13197112585865642</v>
      </c>
      <c r="H29" s="61">
        <f t="shared" ref="H29:H35" si="14">G29-($G29-$Q29)/10</f>
        <v>0.13197112585865642</v>
      </c>
      <c r="I29" s="61">
        <f t="shared" ref="I29:I35" si="15">H29-($H29-$Q29)/9</f>
        <v>0.13197112585865642</v>
      </c>
      <c r="J29" s="61">
        <f t="shared" ref="J29:J35" si="16">I29-($I29-$Q29)/8</f>
        <v>0.13197112585865642</v>
      </c>
      <c r="K29" s="61">
        <f t="shared" ref="K29:K35" si="17">J29-($J29-$Q29)/7</f>
        <v>0.13197112585865642</v>
      </c>
      <c r="L29" s="61">
        <f t="shared" ref="L29:L35" si="18">K29-($K29-$Q29)/6</f>
        <v>0.13197112585865642</v>
      </c>
      <c r="M29" s="61">
        <f t="shared" ref="M29:M35" si="19">L29-($L29-$Q29)/5</f>
        <v>0.13197112585865642</v>
      </c>
      <c r="N29" s="61">
        <f t="shared" ref="N29:N35" si="20">M29-($M29-$Q29)/4</f>
        <v>0.13197112585865642</v>
      </c>
      <c r="O29" s="61">
        <f t="shared" ref="O29:O35" si="21">N29-($N29-$Q29)/3</f>
        <v>0.13197112585865642</v>
      </c>
      <c r="P29" s="61">
        <f t="shared" ref="P29:P35" si="22">O29-($O29-$Q29)/2</f>
        <v>0.13197112585865642</v>
      </c>
      <c r="Q29" s="61">
        <f t="shared" ref="Q29:Q35" si="23">$F29</f>
        <v>0.13197112585865642</v>
      </c>
      <c r="R29" s="68">
        <f t="shared" ref="R29:R35" si="24">$Q29</f>
        <v>0.13197112585865642</v>
      </c>
    </row>
    <row r="30" spans="1:18">
      <c r="A30" t="s">
        <v>539</v>
      </c>
      <c r="B30" s="17">
        <f>'Financial Statements'!B34/'Financial Statements'!B12</f>
        <v>0.12326803841483838</v>
      </c>
      <c r="C30" s="17">
        <f>'Financial Statements'!C34/'Financial Statements'!C12</f>
        <v>0</v>
      </c>
      <c r="D30" s="17">
        <f>'Financial Statements'!D34/'Financial Statements'!D12</f>
        <v>0</v>
      </c>
      <c r="E30" s="17">
        <f>'Financial Statements'!E34/'Financial Statements'!E12</f>
        <v>0</v>
      </c>
      <c r="F30" s="17">
        <f>'Financial Statements'!F34/'Financial Statements'!F12</f>
        <v>0</v>
      </c>
      <c r="G30" s="61">
        <f t="shared" si="13"/>
        <v>0</v>
      </c>
      <c r="H30" s="61">
        <f t="shared" si="14"/>
        <v>0</v>
      </c>
      <c r="I30" s="61">
        <f t="shared" si="15"/>
        <v>0</v>
      </c>
      <c r="J30" s="61">
        <f t="shared" si="16"/>
        <v>0</v>
      </c>
      <c r="K30" s="61">
        <f t="shared" si="17"/>
        <v>0</v>
      </c>
      <c r="L30" s="61">
        <f t="shared" si="18"/>
        <v>0</v>
      </c>
      <c r="M30" s="61">
        <f t="shared" si="19"/>
        <v>0</v>
      </c>
      <c r="N30" s="61">
        <f t="shared" si="20"/>
        <v>0</v>
      </c>
      <c r="O30" s="61">
        <f t="shared" si="21"/>
        <v>0</v>
      </c>
      <c r="P30" s="61">
        <f t="shared" si="22"/>
        <v>0</v>
      </c>
      <c r="Q30" s="61">
        <f t="shared" si="23"/>
        <v>0</v>
      </c>
      <c r="R30" s="68">
        <f t="shared" si="24"/>
        <v>0</v>
      </c>
    </row>
    <row r="31" spans="1:18">
      <c r="A31" t="s">
        <v>22</v>
      </c>
      <c r="B31" s="17">
        <f>IF('Financial Statements'!B13=0,0,-'Financial Statements'!B35/'Financial Statements'!B13)</f>
        <v>0.25806725437703365</v>
      </c>
      <c r="C31" s="17">
        <f>IF('Financial Statements'!C13=0,0,-'Financial Statements'!C35/'Financial Statements'!C13)</f>
        <v>0.26167489997738236</v>
      </c>
      <c r="D31" s="17">
        <f>IF('Financial Statements'!D13=0,0,-'Financial Statements'!D35/'Financial Statements'!D13)</f>
        <v>0.27302639913059351</v>
      </c>
      <c r="E31" s="17">
        <f>IF('Financial Statements'!E13=0,0,-'Financial Statements'!E35/'Financial Statements'!E13)</f>
        <v>0.2708534933230114</v>
      </c>
      <c r="F31" s="17">
        <f>IF('Financial Statements'!F13=0,0,-'Financial Statements'!F35/'Financial Statements'!F13)</f>
        <v>0.27368913857677901</v>
      </c>
      <c r="G31" s="61">
        <f t="shared" si="13"/>
        <v>0.27368913857677901</v>
      </c>
      <c r="H31" s="61">
        <f t="shared" si="14"/>
        <v>0.27368913857677901</v>
      </c>
      <c r="I31" s="61">
        <f t="shared" si="15"/>
        <v>0.27368913857677901</v>
      </c>
      <c r="J31" s="61">
        <f t="shared" si="16"/>
        <v>0.27368913857677901</v>
      </c>
      <c r="K31" s="61">
        <f t="shared" si="17"/>
        <v>0.27368913857677901</v>
      </c>
      <c r="L31" s="61">
        <f t="shared" si="18"/>
        <v>0.27368913857677901</v>
      </c>
      <c r="M31" s="61">
        <f t="shared" si="19"/>
        <v>0.27368913857677901</v>
      </c>
      <c r="N31" s="61">
        <f t="shared" si="20"/>
        <v>0.27368913857677901</v>
      </c>
      <c r="O31" s="61">
        <f t="shared" si="21"/>
        <v>0.27368913857677901</v>
      </c>
      <c r="P31" s="61">
        <f t="shared" si="22"/>
        <v>0.27368913857677901</v>
      </c>
      <c r="Q31" s="61">
        <f t="shared" si="23"/>
        <v>0.27368913857677901</v>
      </c>
      <c r="R31" s="68">
        <f t="shared" si="24"/>
        <v>0.27368913857677901</v>
      </c>
    </row>
    <row r="32" spans="1:18">
      <c r="A32" t="s">
        <v>23</v>
      </c>
      <c r="B32" s="17">
        <f>'Financial Statements'!B36/'Financial Statements'!B12</f>
        <v>6.6782234610885212E-3</v>
      </c>
      <c r="C32" s="17">
        <f>'Financial Statements'!C36/'Financial Statements'!C12</f>
        <v>1.238669073912145E-2</v>
      </c>
      <c r="D32" s="17">
        <f>'Financial Statements'!D36/'Financial Statements'!D12</f>
        <v>1.2412789960066123E-2</v>
      </c>
      <c r="E32" s="17">
        <f>'Financial Statements'!E36/'Financial Statements'!E12</f>
        <v>1.3728720483250962E-2</v>
      </c>
      <c r="F32" s="17">
        <f>'Financial Statements'!F36/'Financial Statements'!F12</f>
        <v>1.7173128420072185E-2</v>
      </c>
      <c r="G32" s="61">
        <f t="shared" si="13"/>
        <v>1.7173128420072185E-2</v>
      </c>
      <c r="H32" s="61">
        <f t="shared" si="14"/>
        <v>1.7173128420072185E-2</v>
      </c>
      <c r="I32" s="61">
        <f t="shared" si="15"/>
        <v>1.7173128420072185E-2</v>
      </c>
      <c r="J32" s="61">
        <f t="shared" si="16"/>
        <v>1.7173128420072185E-2</v>
      </c>
      <c r="K32" s="61">
        <f t="shared" si="17"/>
        <v>1.7173128420072185E-2</v>
      </c>
      <c r="L32" s="61">
        <f t="shared" si="18"/>
        <v>1.7173128420072185E-2</v>
      </c>
      <c r="M32" s="61">
        <f t="shared" si="19"/>
        <v>1.7173128420072185E-2</v>
      </c>
      <c r="N32" s="61">
        <f t="shared" si="20"/>
        <v>1.7173128420072185E-2</v>
      </c>
      <c r="O32" s="61">
        <f t="shared" si="21"/>
        <v>1.7173128420072185E-2</v>
      </c>
      <c r="P32" s="61">
        <f t="shared" si="22"/>
        <v>1.7173128420072185E-2</v>
      </c>
      <c r="Q32" s="61">
        <f t="shared" si="23"/>
        <v>1.7173128420072185E-2</v>
      </c>
      <c r="R32" s="68">
        <f t="shared" si="24"/>
        <v>1.7173128420072185E-2</v>
      </c>
    </row>
    <row r="33" spans="1:18">
      <c r="A33" t="s">
        <v>187</v>
      </c>
      <c r="B33" s="17">
        <f>IF('Financial Statements'!B13=0,0,-'Financial Statements'!B45/'Financial Statements'!B13)</f>
        <v>9.5723721997526323E-2</v>
      </c>
      <c r="C33" s="17">
        <f>IF('Financial Statements'!C13=0,0,-'Financial Statements'!C45/'Financial Statements'!C13)</f>
        <v>9.4471944984046832E-2</v>
      </c>
      <c r="D33" s="17">
        <f>IF('Financial Statements'!D13=0,0,-'Financial Statements'!D45/'Financial Statements'!D13)</f>
        <v>7.9925530249918039E-2</v>
      </c>
      <c r="E33" s="17">
        <f>IF('Financial Statements'!E13=0,0,-'Financial Statements'!E45/'Financial Statements'!E13)</f>
        <v>8.5252564350687052E-2</v>
      </c>
      <c r="F33" s="17">
        <f>IF('Financial Statements'!F13=0,0,-'Financial Statements'!F45/'Financial Statements'!F13)</f>
        <v>0.11123595505617978</v>
      </c>
      <c r="G33" s="61">
        <f t="shared" si="13"/>
        <v>0.11123595505617978</v>
      </c>
      <c r="H33" s="61">
        <f t="shared" si="14"/>
        <v>0.11123595505617978</v>
      </c>
      <c r="I33" s="61">
        <f t="shared" si="15"/>
        <v>0.11123595505617978</v>
      </c>
      <c r="J33" s="61">
        <f t="shared" si="16"/>
        <v>0.11123595505617978</v>
      </c>
      <c r="K33" s="61">
        <f t="shared" si="17"/>
        <v>0.11123595505617978</v>
      </c>
      <c r="L33" s="61">
        <f t="shared" si="18"/>
        <v>0.11123595505617978</v>
      </c>
      <c r="M33" s="61">
        <f t="shared" si="19"/>
        <v>0.11123595505617978</v>
      </c>
      <c r="N33" s="61">
        <f t="shared" si="20"/>
        <v>0.11123595505617978</v>
      </c>
      <c r="O33" s="61">
        <f t="shared" si="21"/>
        <v>0.11123595505617978</v>
      </c>
      <c r="P33" s="61">
        <f t="shared" si="22"/>
        <v>0.11123595505617978</v>
      </c>
      <c r="Q33" s="61">
        <f t="shared" si="23"/>
        <v>0.11123595505617978</v>
      </c>
      <c r="R33" s="68">
        <f t="shared" si="24"/>
        <v>0.11123595505617978</v>
      </c>
    </row>
    <row r="34" spans="1:18">
      <c r="A34" t="s">
        <v>222</v>
      </c>
      <c r="B34" s="17">
        <f>'Financial Statements'!B46/'Financial Statements'!B12</f>
        <v>1.2453760448737698E-2</v>
      </c>
      <c r="C34" s="17">
        <f>'Financial Statements'!C46/'Financial Statements'!C12</f>
        <v>1.5006448714194326E-2</v>
      </c>
      <c r="D34" s="17">
        <f>'Financial Statements'!D46/'Financial Statements'!D12</f>
        <v>7.5425522835320764E-3</v>
      </c>
      <c r="E34" s="17">
        <f>'Financial Statements'!E46/'Financial Statements'!E12</f>
        <v>6.4067362255171151E-3</v>
      </c>
      <c r="F34" s="17">
        <f>'Financial Statements'!F46/'Financial Statements'!F12</f>
        <v>1.0711375014553499E-2</v>
      </c>
      <c r="G34" s="61">
        <f t="shared" si="13"/>
        <v>1.0711375014553499E-2</v>
      </c>
      <c r="H34" s="61">
        <f t="shared" si="14"/>
        <v>1.0711375014553499E-2</v>
      </c>
      <c r="I34" s="61">
        <f t="shared" si="15"/>
        <v>1.0711375014553499E-2</v>
      </c>
      <c r="J34" s="61">
        <f t="shared" si="16"/>
        <v>1.0711375014553499E-2</v>
      </c>
      <c r="K34" s="61">
        <f t="shared" si="17"/>
        <v>1.0711375014553499E-2</v>
      </c>
      <c r="L34" s="61">
        <f t="shared" si="18"/>
        <v>1.0711375014553499E-2</v>
      </c>
      <c r="M34" s="61">
        <f t="shared" si="19"/>
        <v>1.0711375014553499E-2</v>
      </c>
      <c r="N34" s="61">
        <f t="shared" si="20"/>
        <v>1.0711375014553499E-2</v>
      </c>
      <c r="O34" s="61">
        <f t="shared" si="21"/>
        <v>1.0711375014553499E-2</v>
      </c>
      <c r="P34" s="61">
        <f t="shared" si="22"/>
        <v>1.0711375014553499E-2</v>
      </c>
      <c r="Q34" s="61">
        <f t="shared" si="23"/>
        <v>1.0711375014553499E-2</v>
      </c>
      <c r="R34" s="68">
        <f t="shared" si="24"/>
        <v>1.0711375014553499E-2</v>
      </c>
    </row>
    <row r="35" spans="1:18">
      <c r="A35" t="s">
        <v>188</v>
      </c>
      <c r="B35" s="17">
        <f>'Financial Statements'!B47/'Financial Statements'!B12</f>
        <v>4.7875288095991876E-2</v>
      </c>
      <c r="C35" s="17">
        <f>'Financial Statements'!C47/'Financial Statements'!C12</f>
        <v>4.7103019367243724E-2</v>
      </c>
      <c r="D35" s="17">
        <f>'Financial Statements'!D47/'Financial Statements'!D12</f>
        <v>4.8471585130608529E-2</v>
      </c>
      <c r="E35" s="17">
        <f>'Financial Statements'!E47/'Financial Statements'!E12</f>
        <v>4.9545426810665691E-2</v>
      </c>
      <c r="F35" s="17">
        <f>'Financial Statements'!F47/'Financial Statements'!F12</f>
        <v>5.8330422633601116E-2</v>
      </c>
      <c r="G35" s="61">
        <f t="shared" si="13"/>
        <v>5.8330422633601116E-2</v>
      </c>
      <c r="H35" s="61">
        <f t="shared" si="14"/>
        <v>5.8330422633601116E-2</v>
      </c>
      <c r="I35" s="61">
        <f t="shared" si="15"/>
        <v>5.8330422633601116E-2</v>
      </c>
      <c r="J35" s="61">
        <f t="shared" si="16"/>
        <v>5.8330422633601116E-2</v>
      </c>
      <c r="K35" s="61">
        <f t="shared" si="17"/>
        <v>5.8330422633601116E-2</v>
      </c>
      <c r="L35" s="61">
        <f t="shared" si="18"/>
        <v>5.8330422633601116E-2</v>
      </c>
      <c r="M35" s="61">
        <f t="shared" si="19"/>
        <v>5.8330422633601116E-2</v>
      </c>
      <c r="N35" s="61">
        <f t="shared" si="20"/>
        <v>5.8330422633601116E-2</v>
      </c>
      <c r="O35" s="61">
        <f t="shared" si="21"/>
        <v>5.8330422633601116E-2</v>
      </c>
      <c r="P35" s="61">
        <f t="shared" si="22"/>
        <v>5.8330422633601116E-2</v>
      </c>
      <c r="Q35" s="61">
        <f t="shared" si="23"/>
        <v>5.8330422633601116E-2</v>
      </c>
      <c r="R35" s="68">
        <f t="shared" si="24"/>
        <v>5.8330422633601116E-2</v>
      </c>
    </row>
    <row r="36" spans="1:18" s="58" customFormat="1">
      <c r="A36" s="76" t="s">
        <v>266</v>
      </c>
      <c r="B36" s="17"/>
      <c r="C36" s="17"/>
      <c r="D36" s="17"/>
      <c r="E36" s="17"/>
      <c r="F36" s="1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</row>
    <row r="37" spans="1:18">
      <c r="A37" t="s">
        <v>417</v>
      </c>
      <c r="B37" s="17">
        <f>'Financial Statements'!B38/'Financial Statements'!B12</f>
        <v>0.33903584757656141</v>
      </c>
      <c r="C37" s="17">
        <f>'Financial Statements'!C38/'Financial Statements'!C12</f>
        <v>0.34437150255040727</v>
      </c>
      <c r="D37" s="17">
        <f>'Financial Statements'!D38/'Financial Statements'!D12</f>
        <v>0.39516353730125786</v>
      </c>
      <c r="E37" s="17">
        <f>'Financial Statements'!E38/'Financial Statements'!E12</f>
        <v>0.42613948380010985</v>
      </c>
      <c r="F37" s="17">
        <f>'Financial Statements'!F38/'Financial Statements'!F12</f>
        <v>0.40854581441378507</v>
      </c>
      <c r="G37" s="61">
        <f>F37-($F37-$Q37)/11</f>
        <v>0.40854581441378507</v>
      </c>
      <c r="H37" s="61">
        <f>G37-($G37-$Q37)/10</f>
        <v>0.40854581441378507</v>
      </c>
      <c r="I37" s="61">
        <f>H37-($H37-$Q37)/9</f>
        <v>0.40854581441378507</v>
      </c>
      <c r="J37" s="61">
        <f>I37-($I37-$Q37)/8</f>
        <v>0.40854581441378507</v>
      </c>
      <c r="K37" s="61">
        <f>J37-($J37-$Q37)/7</f>
        <v>0.40854581441378507</v>
      </c>
      <c r="L37" s="61">
        <f>K37-($K37-$Q37)/6</f>
        <v>0.40854581441378507</v>
      </c>
      <c r="M37" s="61">
        <f>L37-($L37-$Q37)/5</f>
        <v>0.40854581441378507</v>
      </c>
      <c r="N37" s="61">
        <f>M37-($M37-$Q37)/4</f>
        <v>0.40854581441378507</v>
      </c>
      <c r="O37" s="61">
        <f>N37-($N37-$Q37)/3</f>
        <v>0.40854581441378507</v>
      </c>
      <c r="P37" s="61">
        <f>O37-($O37-$Q37)/2</f>
        <v>0.40854581441378507</v>
      </c>
      <c r="Q37" s="61">
        <f>$F37</f>
        <v>0.40854581441378507</v>
      </c>
      <c r="R37" s="68">
        <f>$Q37</f>
        <v>0.40854581441378507</v>
      </c>
    </row>
    <row r="38" spans="1:18">
      <c r="A38" t="s">
        <v>189</v>
      </c>
      <c r="B38" s="17">
        <f>'Financial Statements'!B39/'Financial Statements'!B12</f>
        <v>0</v>
      </c>
      <c r="C38" s="17">
        <f>'Financial Statements'!C39/'Financial Statements'!C12</f>
        <v>0</v>
      </c>
      <c r="D38" s="17">
        <f>'Financial Statements'!D39/'Financial Statements'!D12</f>
        <v>0</v>
      </c>
      <c r="E38" s="17">
        <f>'Financial Statements'!E39/'Financial Statements'!E12</f>
        <v>2.0257489779730308E-2</v>
      </c>
      <c r="F38" s="17">
        <f>'Financial Statements'!F39/'Financial Statements'!F12</f>
        <v>1.868669228082431E-2</v>
      </c>
      <c r="G38" s="61">
        <f>F38-($F38-$Q38)/11</f>
        <v>1.868669228082431E-2</v>
      </c>
      <c r="H38" s="61">
        <f>G38-($G38-$Q38)/10</f>
        <v>1.868669228082431E-2</v>
      </c>
      <c r="I38" s="61">
        <f>H38-($H38-$Q38)/9</f>
        <v>1.868669228082431E-2</v>
      </c>
      <c r="J38" s="61">
        <f>I38-($I38-$Q38)/8</f>
        <v>1.868669228082431E-2</v>
      </c>
      <c r="K38" s="61">
        <f>J38-($J38-$Q38)/7</f>
        <v>1.868669228082431E-2</v>
      </c>
      <c r="L38" s="61">
        <f>K38-($K38-$Q38)/6</f>
        <v>1.868669228082431E-2</v>
      </c>
      <c r="M38" s="61">
        <f>L38-($L38-$Q38)/5</f>
        <v>1.868669228082431E-2</v>
      </c>
      <c r="N38" s="61">
        <f>M38-($M38-$Q38)/4</f>
        <v>1.868669228082431E-2</v>
      </c>
      <c r="O38" s="61">
        <f>N38-($N38-$Q38)/3</f>
        <v>1.868669228082431E-2</v>
      </c>
      <c r="P38" s="61">
        <f>O38-($O38-$Q38)/2</f>
        <v>1.868669228082431E-2</v>
      </c>
      <c r="Q38" s="61">
        <f>$F38</f>
        <v>1.868669228082431E-2</v>
      </c>
      <c r="R38" s="68">
        <f>$Q38</f>
        <v>1.868669228082431E-2</v>
      </c>
    </row>
    <row r="39" spans="1:18">
      <c r="A39" t="s">
        <v>190</v>
      </c>
      <c r="B39" s="17">
        <f>'Financial Statements'!B40/'Financial Statements'!B12</f>
        <v>1.6543382337414772E-2</v>
      </c>
      <c r="C39" s="17">
        <f>'Financial Statements'!C40/'Financial Statements'!C12</f>
        <v>1.4708009117751051E-2</v>
      </c>
      <c r="D39" s="17">
        <f>'Financial Statements'!D40/'Financial Statements'!D12</f>
        <v>1.3311857530296411E-2</v>
      </c>
      <c r="E39" s="17">
        <f>'Financial Statements'!E40/'Financial Statements'!E12</f>
        <v>1.281347245103423E-2</v>
      </c>
      <c r="F39" s="17">
        <f>'Financial Statements'!F40/'Financial Statements'!F12</f>
        <v>1.1875654907439748E-2</v>
      </c>
      <c r="G39" s="61">
        <f>F39-($F39-$Q39)/11</f>
        <v>1.1875654907439748E-2</v>
      </c>
      <c r="H39" s="61">
        <f>G39-($G39-$Q39)/10</f>
        <v>1.1875654907439748E-2</v>
      </c>
      <c r="I39" s="61">
        <f>H39-($H39-$Q39)/9</f>
        <v>1.1875654907439748E-2</v>
      </c>
      <c r="J39" s="61">
        <f>I39-($I39-$Q39)/8</f>
        <v>1.1875654907439748E-2</v>
      </c>
      <c r="K39" s="61">
        <f>J39-($J39-$Q39)/7</f>
        <v>1.1875654907439748E-2</v>
      </c>
      <c r="L39" s="61">
        <f>K39-($K39-$Q39)/6</f>
        <v>1.1875654907439748E-2</v>
      </c>
      <c r="M39" s="61">
        <f>L39-($L39-$Q39)/5</f>
        <v>1.1875654907439748E-2</v>
      </c>
      <c r="N39" s="61">
        <f>M39-($M39-$Q39)/4</f>
        <v>1.1875654907439748E-2</v>
      </c>
      <c r="O39" s="61">
        <f>N39-($N39-$Q39)/3</f>
        <v>1.1875654907439748E-2</v>
      </c>
      <c r="P39" s="61">
        <f>O39-($O39-$Q39)/2</f>
        <v>1.1875654907439748E-2</v>
      </c>
      <c r="Q39" s="61">
        <f>$F39</f>
        <v>1.1875654907439748E-2</v>
      </c>
      <c r="R39" s="68">
        <f>$Q39</f>
        <v>1.1875654907439748E-2</v>
      </c>
    </row>
    <row r="40" spans="1:18">
      <c r="A40" t="s">
        <v>82</v>
      </c>
      <c r="B40" s="17">
        <f>'Financial Statements'!B41/'Financial Statements'!B12</f>
        <v>9.0608889559092871E-3</v>
      </c>
      <c r="C40" s="17">
        <f>'Financial Statements'!C41/'Financial Statements'!C12</f>
        <v>3.7659744635035047E-3</v>
      </c>
      <c r="D40" s="17">
        <f>'Financial Statements'!D41/'Financial Statements'!D12</f>
        <v>6.499922846878523E-3</v>
      </c>
      <c r="E40" s="17">
        <f>'Financial Statements'!E41/'Financial Statements'!E12</f>
        <v>6.5897858319604614E-3</v>
      </c>
      <c r="F40" s="17">
        <f>'Financial Statements'!F41/'Financial Statements'!F12</f>
        <v>7.6842472930492489E-3</v>
      </c>
      <c r="G40" s="61">
        <f>F40-($F40-$Q40)/11</f>
        <v>7.6842472930492489E-3</v>
      </c>
      <c r="H40" s="61">
        <f>G40-($G40-$Q40)/10</f>
        <v>7.6842472930492489E-3</v>
      </c>
      <c r="I40" s="61">
        <f>H40-($H40-$Q40)/9</f>
        <v>7.6842472930492489E-3</v>
      </c>
      <c r="J40" s="61">
        <f>I40-($I40-$Q40)/8</f>
        <v>7.6842472930492489E-3</v>
      </c>
      <c r="K40" s="61">
        <f>J40-($J40-$Q40)/7</f>
        <v>7.6842472930492489E-3</v>
      </c>
      <c r="L40" s="61">
        <f>K40-($K40-$Q40)/6</f>
        <v>7.6842472930492489E-3</v>
      </c>
      <c r="M40" s="61">
        <f>L40-($L40-$Q40)/5</f>
        <v>7.6842472930492489E-3</v>
      </c>
      <c r="N40" s="61">
        <f>M40-($M40-$Q40)/4</f>
        <v>7.6842472930492489E-3</v>
      </c>
      <c r="O40" s="61">
        <f>N40-($N40-$Q40)/3</f>
        <v>7.6842472930492489E-3</v>
      </c>
      <c r="P40" s="61">
        <f>O40-($O40-$Q40)/2</f>
        <v>7.6842472930492489E-3</v>
      </c>
      <c r="Q40" s="61">
        <f>$F40</f>
        <v>7.6842472930492489E-3</v>
      </c>
      <c r="R40" s="68">
        <f>$Q40</f>
        <v>7.6842472930492489E-3</v>
      </c>
    </row>
    <row r="41" spans="1:18" s="58" customFormat="1">
      <c r="A41" s="76" t="s">
        <v>402</v>
      </c>
      <c r="B41" s="17"/>
      <c r="C41" s="17"/>
      <c r="D41" s="17"/>
      <c r="E41" s="17"/>
      <c r="F41" s="1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</row>
    <row r="42" spans="1:18">
      <c r="A42" t="s">
        <v>426</v>
      </c>
      <c r="B42" s="17">
        <f>'Financial Statements'!B50/'Financial Statements'!B12</f>
        <v>1.3829055297343709E-2</v>
      </c>
      <c r="C42" s="17">
        <f>'Financial Statements'!C50/'Financial Statements'!C12</f>
        <v>1.5152741372593106E-2</v>
      </c>
      <c r="D42" s="17">
        <f>'Financial Statements'!D50/'Financial Statements'!D12</f>
        <v>2.2624196797156017E-2</v>
      </c>
      <c r="E42" s="17">
        <f>'Financial Statements'!E50/'Financial Statements'!E12</f>
        <v>2.483372994081396E-2</v>
      </c>
      <c r="F42" s="17">
        <f>'Financial Statements'!F50/'Financial Statements'!F12</f>
        <v>2.8408429386424495E-2</v>
      </c>
      <c r="G42" s="61">
        <f>F42-($F42-$Q42)/11</f>
        <v>2.8408429386424495E-2</v>
      </c>
      <c r="H42" s="61">
        <f>G42-($G42-$Q42)/10</f>
        <v>2.8408429386424495E-2</v>
      </c>
      <c r="I42" s="61">
        <f>H42-($H42-$Q42)/9</f>
        <v>2.8408429386424495E-2</v>
      </c>
      <c r="J42" s="61">
        <f>I42-($I42-$Q42)/8</f>
        <v>2.8408429386424495E-2</v>
      </c>
      <c r="K42" s="61">
        <f>J42-($J42-$Q42)/7</f>
        <v>2.8408429386424495E-2</v>
      </c>
      <c r="L42" s="61">
        <f>K42-($K42-$Q42)/6</f>
        <v>2.8408429386424495E-2</v>
      </c>
      <c r="M42" s="61">
        <f>L42-($L42-$Q42)/5</f>
        <v>2.8408429386424495E-2</v>
      </c>
      <c r="N42" s="61">
        <f>M42-($M42-$Q42)/4</f>
        <v>2.8408429386424495E-2</v>
      </c>
      <c r="O42" s="61">
        <f>N42-($N42-$Q42)/3</f>
        <v>2.8408429386424495E-2</v>
      </c>
      <c r="P42" s="61">
        <f>O42-($O42-$Q42)/2</f>
        <v>2.8408429386424495E-2</v>
      </c>
      <c r="Q42" s="61">
        <f>$F42</f>
        <v>2.8408429386424495E-2</v>
      </c>
      <c r="R42" s="68">
        <f>$Q42</f>
        <v>2.8408429386424495E-2</v>
      </c>
    </row>
    <row r="43" spans="1:18">
      <c r="A43" t="s">
        <v>308</v>
      </c>
      <c r="B43" s="17">
        <f>'Financial Statements'!B51/'Financial Statements'!B12</f>
        <v>1.6251117259181821E-2</v>
      </c>
      <c r="C43" s="17">
        <f>'Financial Statements'!C51/'Financial Statements'!C12</f>
        <v>1.5666952990263109E-2</v>
      </c>
      <c r="D43" s="17">
        <f>'Financial Statements'!D51/'Financial Statements'!D12</f>
        <v>1.5931482200695967E-2</v>
      </c>
      <c r="E43" s="17">
        <f>'Financial Statements'!E51/'Financial Statements'!E12</f>
        <v>1.9525291353956923E-2</v>
      </c>
      <c r="F43" s="17">
        <f>'Financial Statements'!F51/'Financial Statements'!F12</f>
        <v>2.194667598090581E-2</v>
      </c>
      <c r="G43" s="61">
        <f>F43-($F43-$Q43)/11</f>
        <v>2.194667598090581E-2</v>
      </c>
      <c r="H43" s="61">
        <f>G43-($G43-$Q43)/10</f>
        <v>2.194667598090581E-2</v>
      </c>
      <c r="I43" s="61">
        <f>H43-($H43-$Q43)/9</f>
        <v>2.194667598090581E-2</v>
      </c>
      <c r="J43" s="61">
        <f>I43-($I43-$Q43)/8</f>
        <v>2.194667598090581E-2</v>
      </c>
      <c r="K43" s="61">
        <f>J43-($J43-$Q43)/7</f>
        <v>2.194667598090581E-2</v>
      </c>
      <c r="L43" s="61">
        <f>K43-($K43-$Q43)/6</f>
        <v>2.194667598090581E-2</v>
      </c>
      <c r="M43" s="61">
        <f>L43-($L43-$Q43)/5</f>
        <v>2.194667598090581E-2</v>
      </c>
      <c r="N43" s="61">
        <f>M43-($M43-$Q43)/4</f>
        <v>2.194667598090581E-2</v>
      </c>
      <c r="O43" s="61">
        <f>N43-($N43-$Q43)/3</f>
        <v>2.194667598090581E-2</v>
      </c>
      <c r="P43" s="61">
        <f>O43-($O43-$Q43)/2</f>
        <v>2.194667598090581E-2</v>
      </c>
      <c r="Q43" s="61">
        <f>$F43</f>
        <v>2.194667598090581E-2</v>
      </c>
      <c r="R43" s="68">
        <f>$Q43</f>
        <v>2.194667598090581E-2</v>
      </c>
    </row>
    <row r="44" spans="1:18">
      <c r="A44" s="76" t="s">
        <v>403</v>
      </c>
      <c r="B44" s="36"/>
      <c r="C44" s="36"/>
      <c r="D44" s="36"/>
      <c r="E44" s="36"/>
      <c r="F44" s="36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spans="1:18">
      <c r="A45" t="s">
        <v>421</v>
      </c>
      <c r="B45" s="17">
        <f>'Financial Statements'!B44/'Financial Statements'!B42</f>
        <v>1.179291509551255E-2</v>
      </c>
      <c r="C45" s="17">
        <f>'Financial Statements'!C44/'Financial Statements'!C42</f>
        <v>2.0839100926793048E-3</v>
      </c>
      <c r="D45" s="17">
        <f>'Financial Statements'!D44/'Financial Statements'!D42</f>
        <v>1.2027368726871628E-3</v>
      </c>
      <c r="E45" s="17">
        <f>'Financial Statements'!E44/'Financial Statements'!E42</f>
        <v>1.4999117698958884E-3</v>
      </c>
      <c r="F45" s="17">
        <f>'Financial Statements'!F44/'Financial Statements'!F42</f>
        <v>1.2158054711246201E-3</v>
      </c>
      <c r="G45" s="61">
        <f>F45-($F45-$Q45)/11</f>
        <v>1.2158054711246201E-3</v>
      </c>
      <c r="H45" s="61">
        <f>G45-($G45-$Q45)/10</f>
        <v>1.2158054711246201E-3</v>
      </c>
      <c r="I45" s="61">
        <f>H45-($H45-$Q45)/9</f>
        <v>1.2158054711246201E-3</v>
      </c>
      <c r="J45" s="61">
        <f>I45-($I45-$Q45)/8</f>
        <v>1.2158054711246201E-3</v>
      </c>
      <c r="K45" s="61">
        <f>J45-($J45-$Q45)/7</f>
        <v>1.2158054711246201E-3</v>
      </c>
      <c r="L45" s="61">
        <f>K45-($K45-$Q45)/6</f>
        <v>1.2158054711246201E-3</v>
      </c>
      <c r="M45" s="61">
        <f>L45-($L45-$Q45)/5</f>
        <v>1.2158054711246201E-3</v>
      </c>
      <c r="N45" s="61">
        <f>M45-($M45-$Q45)/4</f>
        <v>1.2158054711246201E-3</v>
      </c>
      <c r="O45" s="61">
        <f>N45-($N45-$Q45)/3</f>
        <v>1.2158054711246201E-3</v>
      </c>
      <c r="P45" s="61">
        <f>O45-($O45-$Q45)/2</f>
        <v>1.2158054711246201E-3</v>
      </c>
      <c r="Q45" s="61">
        <f>$F45</f>
        <v>1.2158054711246201E-3</v>
      </c>
      <c r="R45" s="68">
        <f>$Q45</f>
        <v>1.2158054711246201E-3</v>
      </c>
    </row>
    <row r="46" spans="1:18">
      <c r="A46" t="s">
        <v>422</v>
      </c>
      <c r="B46" s="17">
        <f>'Financial Statements'!B49/'Financial Statements'!B42</f>
        <v>0.11429035911355334</v>
      </c>
      <c r="C46" s="17">
        <f>'Financial Statements'!C49/'Financial Statements'!C42</f>
        <v>0.11503557556720767</v>
      </c>
      <c r="D46" s="17">
        <f>'Financial Statements'!D49/'Financial Statements'!D42</f>
        <v>0.19430483589047889</v>
      </c>
      <c r="E46" s="17">
        <f>'Financial Statements'!E49/'Financial Statements'!E42</f>
        <v>0.18113640374095641</v>
      </c>
      <c r="F46" s="17">
        <f>'Financial Statements'!F49/'Financial Statements'!F42</f>
        <v>0.15592705167173251</v>
      </c>
      <c r="G46" s="61">
        <f>F46-($F46-$Q46)/11</f>
        <v>0.15592705167173251</v>
      </c>
      <c r="H46" s="61">
        <f>G46-($G46-$Q46)/10</f>
        <v>0.15592705167173251</v>
      </c>
      <c r="I46" s="61">
        <f>H46-($H46-$Q46)/9</f>
        <v>0.15592705167173251</v>
      </c>
      <c r="J46" s="61">
        <f>I46-($I46-$Q46)/8</f>
        <v>0.15592705167173251</v>
      </c>
      <c r="K46" s="61">
        <f>J46-($J46-$Q46)/7</f>
        <v>0.15592705167173251</v>
      </c>
      <c r="L46" s="61">
        <f>K46-($K46-$Q46)/6</f>
        <v>0.15592705167173251</v>
      </c>
      <c r="M46" s="61">
        <f>L46-($L46-$Q46)/5</f>
        <v>0.15592705167173251</v>
      </c>
      <c r="N46" s="61">
        <f>M46-($M46-$Q46)/4</f>
        <v>0.15592705167173251</v>
      </c>
      <c r="O46" s="61">
        <f>N46-($N46-$Q46)/3</f>
        <v>0.15592705167173251</v>
      </c>
      <c r="P46" s="61">
        <f>O46-($O46-$Q46)/2</f>
        <v>0.15592705167173251</v>
      </c>
      <c r="Q46" s="61">
        <f>$F46</f>
        <v>0.15592705167173251</v>
      </c>
      <c r="R46" s="68">
        <f>$Q46</f>
        <v>0.15592705167173251</v>
      </c>
    </row>
    <row r="47" spans="1:18">
      <c r="A47" t="s">
        <v>279</v>
      </c>
      <c r="B47" s="17">
        <f>'Financial Statements'!B53/'Financial Statements'!B42</f>
        <v>0</v>
      </c>
      <c r="C47" s="17">
        <f>'Financial Statements'!C53/'Financial Statements'!C42</f>
        <v>0</v>
      </c>
      <c r="D47" s="17">
        <f>'Financial Statements'!D53/'Financial Statements'!D42</f>
        <v>0</v>
      </c>
      <c r="E47" s="17">
        <f>'Financial Statements'!E53/'Financial Statements'!E42</f>
        <v>0</v>
      </c>
      <c r="F47" s="17">
        <f>'Financial Statements'!F53/'Financial Statements'!F42</f>
        <v>0</v>
      </c>
      <c r="G47" s="61">
        <f>F47-($F47-$Q47)/11</f>
        <v>0</v>
      </c>
      <c r="H47" s="61">
        <f>G47-($G47-$Q47)/10</f>
        <v>0</v>
      </c>
      <c r="I47" s="61">
        <f>H47-($H47-$Q47)/9</f>
        <v>0</v>
      </c>
      <c r="J47" s="61">
        <f>I47-($I47-$Q47)/8</f>
        <v>0</v>
      </c>
      <c r="K47" s="61">
        <f>J47-($J47-$Q47)/7</f>
        <v>0</v>
      </c>
      <c r="L47" s="61">
        <f>K47-($K47-$Q47)/6</f>
        <v>0</v>
      </c>
      <c r="M47" s="61">
        <f>L47-($L47-$Q47)/5</f>
        <v>0</v>
      </c>
      <c r="N47" s="61">
        <f>M47-($M47-$Q47)/4</f>
        <v>0</v>
      </c>
      <c r="O47" s="61">
        <f>N47-($N47-$Q47)/3</f>
        <v>0</v>
      </c>
      <c r="P47" s="61">
        <f>O47-($O47-$Q47)/2</f>
        <v>0</v>
      </c>
      <c r="Q47" s="61">
        <f>$F47</f>
        <v>0</v>
      </c>
      <c r="R47" s="68">
        <f>$Q47</f>
        <v>0</v>
      </c>
    </row>
    <row r="48" spans="1:18">
      <c r="A48" t="s">
        <v>524</v>
      </c>
      <c r="B48" s="17">
        <f>'Financial Statements'!B54/'Financial Statements'!B42</f>
        <v>0</v>
      </c>
      <c r="C48" s="17">
        <f>'Financial Statements'!C54/'Financial Statements'!C42</f>
        <v>0</v>
      </c>
      <c r="D48" s="17">
        <f>'Financial Statements'!D54/'Financial Statements'!D42</f>
        <v>0</v>
      </c>
      <c r="E48" s="17">
        <f>'Financial Statements'!E54/'Financial Statements'!E42</f>
        <v>0</v>
      </c>
      <c r="F48" s="17">
        <f>'Financial Statements'!F54/'Financial Statements'!F42</f>
        <v>0</v>
      </c>
      <c r="G48" s="61">
        <f>F48-($F48-$Q48)/11</f>
        <v>0</v>
      </c>
      <c r="H48" s="61">
        <f>G48-($G48-$Q48)/10</f>
        <v>0</v>
      </c>
      <c r="I48" s="61">
        <f>H48-($H48-$Q48)/9</f>
        <v>0</v>
      </c>
      <c r="J48" s="61">
        <f>I48-($I48-$Q48)/8</f>
        <v>0</v>
      </c>
      <c r="K48" s="61">
        <f>J48-($J48-$Q48)/7</f>
        <v>0</v>
      </c>
      <c r="L48" s="61">
        <f>K48-($K48-$Q48)/6</f>
        <v>0</v>
      </c>
      <c r="M48" s="61">
        <f>L48-($L48-$Q48)/5</f>
        <v>0</v>
      </c>
      <c r="N48" s="61">
        <f>M48-($M48-$Q48)/4</f>
        <v>0</v>
      </c>
      <c r="O48" s="61">
        <f>N48-($N48-$Q48)/3</f>
        <v>0</v>
      </c>
      <c r="P48" s="61">
        <f>O48-($O48-$Q48)/2</f>
        <v>0</v>
      </c>
      <c r="Q48" s="61">
        <f>$F48</f>
        <v>0</v>
      </c>
      <c r="R48" s="68">
        <f>$Q48</f>
        <v>0</v>
      </c>
    </row>
    <row r="49" spans="1:18">
      <c r="A49" t="s">
        <v>525</v>
      </c>
      <c r="B49" s="17">
        <f>IF('Financial Statements'!B29=0,0,-'Financial Statements'!B64/'Financial Statements'!B29)</f>
        <v>0</v>
      </c>
      <c r="C49" s="17">
        <f>IF('Financial Statements'!C29=0,0,-'Financial Statements'!C64/'Financial Statements'!C29)</f>
        <v>0</v>
      </c>
      <c r="D49" s="17">
        <f>IF('Financial Statements'!D29=0,0,-'Financial Statements'!D64/'Financial Statements'!D29)</f>
        <v>0</v>
      </c>
      <c r="E49" s="17">
        <f>IF('Financial Statements'!E29=0,0,-'Financial Statements'!E64/'Financial Statements'!E29)</f>
        <v>0</v>
      </c>
      <c r="F49" s="17">
        <f>IF('Financial Statements'!F29=0,0,-'Financial Statements'!F64/'Financial Statements'!F29)</f>
        <v>0</v>
      </c>
      <c r="G49" s="61">
        <f>F49-($F49-$Q49)/11</f>
        <v>0</v>
      </c>
      <c r="H49" s="61">
        <f>G49-($G49-$Q49)/10</f>
        <v>0</v>
      </c>
      <c r="I49" s="61">
        <f>H49-($H49-$Q49)/9</f>
        <v>0</v>
      </c>
      <c r="J49" s="61">
        <f>I49-($I49-$Q49)/8</f>
        <v>0</v>
      </c>
      <c r="K49" s="61">
        <f>J49-($J49-$Q49)/7</f>
        <v>0</v>
      </c>
      <c r="L49" s="61">
        <f>K49-($K49-$Q49)/6</f>
        <v>0</v>
      </c>
      <c r="M49" s="61">
        <f>L49-($L49-$Q49)/5</f>
        <v>0</v>
      </c>
      <c r="N49" s="61">
        <f>M49-($M49-$Q49)/4</f>
        <v>0</v>
      </c>
      <c r="O49" s="61">
        <f>N49-($N49-$Q49)/3</f>
        <v>0</v>
      </c>
      <c r="P49" s="61">
        <f>O49-($O49-$Q49)/2</f>
        <v>0</v>
      </c>
      <c r="Q49" s="61">
        <f>$F49</f>
        <v>0</v>
      </c>
      <c r="R49" s="68">
        <f>$Q49</f>
        <v>0</v>
      </c>
    </row>
  </sheetData>
  <customSheetViews>
    <customSheetView guid="{0C8E75F0-104F-11D3-8830-006008AC4B3E}" showRuler="0">
      <selection activeCell="B44" sqref="B44"/>
      <pageMargins left="0.7" right="0.7" top="0.75" bottom="0.75" header="0.3" footer="0.3"/>
      <pageSetup orientation="portrait" horizontalDpi="4294967292" verticalDpi="4294967292"/>
    </customSheetView>
  </customSheetViews>
  <mergeCells count="1">
    <mergeCell ref="K2:L2"/>
  </mergeCells>
  <phoneticPr fontId="0" type="noConversion"/>
  <pageMargins left="0.75" right="0.75" top="1" bottom="1" header="0.5" footer="0.5"/>
  <pageSetup orientation="portrait" horizontalDpi="4294967292" verticalDpi="4294967292"/>
  <ignoredErrors>
    <ignoredError sqref="G14:Q49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/>
  <dimension ref="A1:K27"/>
  <sheetViews>
    <sheetView zoomScale="125" workbookViewId="0">
      <selection sqref="A1:D1"/>
    </sheetView>
  </sheetViews>
  <sheetFormatPr baseColWidth="10" defaultColWidth="8.83203125" defaultRowHeight="13"/>
  <cols>
    <col min="1" max="2" width="8.83203125" style="89"/>
    <col min="3" max="3" width="9.83203125" style="89" customWidth="1"/>
    <col min="4" max="4" width="8.83203125" style="89"/>
    <col min="5" max="5" width="9.33203125" style="89" customWidth="1"/>
    <col min="6" max="9" width="8.83203125" style="89"/>
    <col min="10" max="10" width="10.6640625" style="89" customWidth="1"/>
    <col min="11" max="16384" width="8.83203125" style="89"/>
  </cols>
  <sheetData>
    <row r="1" spans="1:11" s="98" customFormat="1" ht="18" customHeight="1">
      <c r="A1" s="293" t="s">
        <v>15</v>
      </c>
      <c r="B1" s="294"/>
      <c r="C1" s="294"/>
      <c r="D1" s="294"/>
      <c r="E1" s="158"/>
      <c r="F1" s="158"/>
      <c r="G1" s="158"/>
      <c r="H1" s="158"/>
      <c r="I1" s="158"/>
      <c r="J1" s="158"/>
      <c r="K1" s="158"/>
    </row>
    <row r="2" spans="1:11" s="98" customFormat="1" ht="18" customHeight="1">
      <c r="A2" s="295"/>
      <c r="B2" s="296"/>
      <c r="C2" s="296"/>
      <c r="D2" s="166"/>
      <c r="E2" s="164"/>
      <c r="F2" s="164"/>
      <c r="G2" s="164"/>
      <c r="H2" s="164"/>
      <c r="I2" s="164"/>
      <c r="J2" s="164"/>
      <c r="K2" s="164"/>
    </row>
    <row r="3" spans="1:11" s="98" customFormat="1" ht="18" customHeight="1">
      <c r="A3" s="160"/>
      <c r="B3" s="195"/>
      <c r="C3" s="195"/>
      <c r="D3" s="94"/>
      <c r="E3" s="91"/>
      <c r="F3" s="91"/>
      <c r="G3" s="91"/>
      <c r="H3" s="91"/>
      <c r="I3" s="91"/>
      <c r="J3" s="91"/>
      <c r="K3" s="91"/>
    </row>
    <row r="4" spans="1:11" s="98" customFormat="1" ht="18" customHeight="1">
      <c r="A4" s="184" t="str">
        <f ca="1">"Estimated Price/Share="&amp;DOLLAR(B24)</f>
        <v>Estimated Price/Share=$78.20</v>
      </c>
      <c r="B4" s="185"/>
      <c r="C4" s="186"/>
      <c r="D4" s="91"/>
      <c r="E4" s="91"/>
      <c r="F4" s="91"/>
      <c r="G4" s="91"/>
      <c r="H4" s="91"/>
      <c r="I4" s="91"/>
      <c r="J4" s="91"/>
      <c r="K4" s="91"/>
    </row>
    <row r="5" spans="1:11" s="98" customFormat="1">
      <c r="A5" s="99"/>
      <c r="B5" s="91"/>
      <c r="C5" s="92"/>
      <c r="D5" s="94"/>
      <c r="E5" s="91"/>
      <c r="F5" s="91"/>
      <c r="G5" s="91"/>
      <c r="H5" s="91"/>
      <c r="I5" s="91"/>
      <c r="J5" s="91"/>
      <c r="K5" s="91"/>
    </row>
    <row r="6" spans="1:11" s="98" customFormat="1">
      <c r="A6" s="94" t="s">
        <v>519</v>
      </c>
      <c r="B6" s="91"/>
      <c r="C6" s="100" t="str">
        <f>'Financial Statements'!B4</f>
        <v>KOHL'S CORP</v>
      </c>
      <c r="D6" s="91"/>
      <c r="E6" s="91"/>
      <c r="F6" s="91"/>
      <c r="G6" s="91"/>
      <c r="H6" s="91"/>
      <c r="I6" s="91"/>
      <c r="J6" s="91"/>
      <c r="K6" s="91"/>
    </row>
    <row r="7" spans="1:1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>
      <c r="A8" s="49" t="s">
        <v>92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>
      <c r="A9" s="90"/>
      <c r="B9" s="241" t="s">
        <v>62</v>
      </c>
      <c r="C9" s="247"/>
      <c r="D9" s="247"/>
      <c r="E9" s="242"/>
      <c r="F9" s="91"/>
      <c r="G9" s="242"/>
      <c r="H9" s="242"/>
      <c r="I9" s="242"/>
      <c r="J9" s="73">
        <v>0.1</v>
      </c>
      <c r="K9" s="50"/>
    </row>
    <row r="10" spans="1:11">
      <c r="A10" s="90"/>
      <c r="B10" s="241" t="s">
        <v>63</v>
      </c>
      <c r="C10" s="50"/>
      <c r="D10" s="50"/>
      <c r="E10" s="248"/>
      <c r="F10" s="248"/>
      <c r="G10" s="248"/>
      <c r="H10" s="248"/>
      <c r="I10" s="248"/>
      <c r="J10" s="62">
        <v>0</v>
      </c>
      <c r="K10" s="50"/>
    </row>
    <row r="11" spans="1:11">
      <c r="A11" s="90"/>
      <c r="B11" s="241" t="s">
        <v>223</v>
      </c>
      <c r="C11" s="50"/>
      <c r="D11" s="50"/>
      <c r="E11" s="248"/>
      <c r="F11" s="248"/>
      <c r="G11" s="248"/>
      <c r="H11" s="248"/>
      <c r="I11" s="248"/>
      <c r="J11" s="263">
        <f ca="1">TODAY()</f>
        <v>42271</v>
      </c>
      <c r="K11" s="50"/>
    </row>
    <row r="12" spans="1:11">
      <c r="A12" s="90"/>
      <c r="B12" s="241" t="s">
        <v>345</v>
      </c>
      <c r="C12" s="50"/>
      <c r="D12" s="50"/>
      <c r="E12" s="248"/>
      <c r="F12" s="248"/>
      <c r="G12" s="248"/>
      <c r="H12" s="248"/>
      <c r="I12" s="248"/>
      <c r="J12" s="63">
        <v>1</v>
      </c>
      <c r="K12" s="50"/>
    </row>
    <row r="13" spans="1:11">
      <c r="A13" s="50"/>
      <c r="B13" s="50"/>
      <c r="C13" s="50"/>
      <c r="D13" s="50"/>
      <c r="E13" s="248"/>
      <c r="F13" s="248"/>
      <c r="G13" s="248"/>
      <c r="H13" s="248"/>
      <c r="I13" s="248"/>
      <c r="J13" s="50"/>
      <c r="K13" s="50"/>
    </row>
    <row r="14" spans="1:11">
      <c r="A14" s="291" t="s">
        <v>357</v>
      </c>
      <c r="B14" s="292"/>
      <c r="C14" s="292"/>
      <c r="D14" s="292"/>
      <c r="E14" s="292"/>
      <c r="F14" s="292"/>
      <c r="G14" s="292"/>
      <c r="H14" s="49"/>
      <c r="I14" s="49"/>
      <c r="J14" s="50"/>
      <c r="K14" s="50"/>
    </row>
    <row r="15" spans="1:11">
      <c r="A15" s="49"/>
      <c r="B15" s="241" t="s">
        <v>86</v>
      </c>
      <c r="C15" s="49"/>
      <c r="D15" s="49"/>
      <c r="E15" s="49"/>
      <c r="F15" s="49"/>
      <c r="G15" s="49"/>
      <c r="H15" s="49"/>
      <c r="I15" s="49"/>
      <c r="J15" s="73">
        <v>0.08</v>
      </c>
      <c r="K15" s="50"/>
    </row>
    <row r="16" spans="1:11">
      <c r="A16" s="49"/>
      <c r="B16" s="241" t="s">
        <v>529</v>
      </c>
      <c r="C16" s="49"/>
      <c r="D16" s="49"/>
      <c r="E16" s="49"/>
      <c r="F16" s="49"/>
      <c r="G16" s="49"/>
      <c r="H16" s="49"/>
      <c r="I16" s="49"/>
      <c r="J16" s="73">
        <v>0.09</v>
      </c>
      <c r="K16" s="50"/>
    </row>
    <row r="17" spans="1:11">
      <c r="A17" s="49"/>
      <c r="B17" s="241" t="s">
        <v>201</v>
      </c>
      <c r="C17" s="49"/>
      <c r="D17" s="49"/>
      <c r="E17" s="49"/>
      <c r="F17" s="49"/>
      <c r="G17" s="49"/>
      <c r="H17" s="49"/>
      <c r="I17" s="49"/>
      <c r="J17" s="73">
        <v>0.1</v>
      </c>
      <c r="K17" s="50"/>
    </row>
    <row r="18" spans="1:1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</row>
    <row r="19" spans="1:11">
      <c r="A19" s="50"/>
      <c r="B19" s="241" t="s">
        <v>398</v>
      </c>
      <c r="C19" s="50"/>
      <c r="D19" s="50"/>
      <c r="E19" s="50"/>
      <c r="F19" s="50"/>
      <c r="G19" s="50"/>
      <c r="H19" s="50"/>
      <c r="I19" s="50"/>
      <c r="J19" s="249">
        <v>9.3719999999999998E-2</v>
      </c>
      <c r="K19" s="240" t="str">
        <f ca="1">IF(E24&gt;B24,"up","down")</f>
        <v>up</v>
      </c>
    </row>
    <row r="20" spans="1:11">
      <c r="A20" s="50"/>
      <c r="B20" s="241" t="s">
        <v>271</v>
      </c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</row>
    <row r="22" spans="1:11">
      <c r="A22" s="50"/>
      <c r="B22" s="50" t="s">
        <v>273</v>
      </c>
      <c r="C22" s="50"/>
      <c r="D22" s="50"/>
      <c r="E22" s="50" t="s">
        <v>275</v>
      </c>
      <c r="F22" s="50"/>
      <c r="G22" s="50"/>
      <c r="H22" s="50"/>
      <c r="I22" s="50" t="s">
        <v>142</v>
      </c>
      <c r="J22" s="50"/>
      <c r="K22" s="50"/>
    </row>
    <row r="23" spans="1:11">
      <c r="A23" s="50"/>
      <c r="B23" s="50" t="s">
        <v>274</v>
      </c>
      <c r="C23" s="50"/>
      <c r="D23" s="50"/>
      <c r="E23" s="50" t="s">
        <v>252</v>
      </c>
      <c r="F23" s="50"/>
      <c r="G23" s="50"/>
      <c r="H23" s="50"/>
      <c r="I23" s="50" t="s">
        <v>397</v>
      </c>
      <c r="J23" s="50"/>
      <c r="K23" s="50"/>
    </row>
    <row r="24" spans="1:11">
      <c r="A24" s="50"/>
      <c r="B24" s="245">
        <f ca="1">'Residual Income Valuations'!B27</f>
        <v>78.202604860256983</v>
      </c>
      <c r="C24" s="50"/>
      <c r="D24" s="50"/>
      <c r="E24" s="245">
        <f ca="1">'Residual Income Valuations'!B68</f>
        <v>78.204885640662781</v>
      </c>
      <c r="F24" s="50"/>
      <c r="G24" s="50"/>
      <c r="H24" s="50"/>
      <c r="I24" s="50"/>
      <c r="J24" s="246">
        <f>('Residual Income Valuations'!B21*J9+'Residual Income Valuations'!B40*(J15*(1-'Forecasting Assumptions'!Q21))+'Residual Income Valuations'!B46*J16+'Residual Income Valuations'!B52*J17)/('Residual Income Valuations'!B21+'Residual Income Valuations'!B40+'Residual Income Valuations'!B46+'Residual Income Valuations'!B52)</f>
        <v>9.4490396277652128E-2</v>
      </c>
      <c r="K24" s="50"/>
    </row>
    <row r="27" spans="1:11">
      <c r="J27" s="244"/>
    </row>
  </sheetData>
  <mergeCells count="3">
    <mergeCell ref="A14:G14"/>
    <mergeCell ref="A1:D1"/>
    <mergeCell ref="A2:C2"/>
  </mergeCells>
  <phoneticPr fontId="0" type="noConversion"/>
  <pageMargins left="0.75" right="0.75" top="1" bottom="1" header="0.5" footer="0.5"/>
  <ignoredErrors>
    <ignoredError sqref="C6 J11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pageSetUpPr fitToPage="1"/>
  </sheetPr>
  <dimension ref="A1:II68"/>
  <sheetViews>
    <sheetView zoomScale="125" workbookViewId="0">
      <pane xSplit="1" ySplit="10" topLeftCell="B11" activePane="bottomRight" state="frozenSplit"/>
      <selection pane="topRight" activeCell="D1" sqref="D1"/>
      <selection pane="bottomLeft" activeCell="A13" sqref="A13"/>
      <selection pane="bottomRight"/>
    </sheetView>
  </sheetViews>
  <sheetFormatPr baseColWidth="10" defaultColWidth="8.83203125" defaultRowHeight="13"/>
  <cols>
    <col min="1" max="1" width="36.6640625" customWidth="1"/>
    <col min="2" max="13" width="15.6640625" customWidth="1"/>
  </cols>
  <sheetData>
    <row r="1" spans="1:13" s="59" customFormat="1" ht="18">
      <c r="A1" s="170" t="s">
        <v>358</v>
      </c>
      <c r="B1" s="179" t="s">
        <v>381</v>
      </c>
      <c r="C1" s="187"/>
      <c r="D1" s="188"/>
      <c r="E1" s="181"/>
      <c r="F1" s="181"/>
      <c r="G1" s="189"/>
      <c r="H1" s="181"/>
      <c r="I1" s="181"/>
      <c r="J1" s="181"/>
      <c r="K1" s="181"/>
      <c r="L1" s="181"/>
      <c r="M1" s="181"/>
    </row>
    <row r="2" spans="1:13" ht="18" customHeight="1">
      <c r="A2" s="158"/>
      <c r="B2" s="158"/>
      <c r="C2" s="158"/>
      <c r="D2" s="158"/>
      <c r="E2" s="158"/>
      <c r="F2" s="158"/>
      <c r="G2" s="190"/>
      <c r="H2" s="158"/>
      <c r="I2" s="158"/>
      <c r="J2" s="158"/>
      <c r="K2" s="158"/>
      <c r="L2" s="158"/>
      <c r="M2" s="158"/>
    </row>
    <row r="3" spans="1:13" ht="18" customHeight="1">
      <c r="A3" s="164"/>
      <c r="B3" s="164"/>
      <c r="C3" s="164"/>
      <c r="D3" s="164"/>
      <c r="E3" s="164"/>
      <c r="F3" s="164"/>
      <c r="G3" s="191"/>
      <c r="H3" s="164"/>
      <c r="I3" s="164"/>
      <c r="J3" s="164"/>
      <c r="K3" s="164"/>
      <c r="L3" s="164"/>
      <c r="M3" s="164"/>
    </row>
    <row r="4" spans="1:13" s="7" customFormat="1">
      <c r="A4" s="6" t="s">
        <v>412</v>
      </c>
      <c r="B4" s="13" t="str">
        <f>'Financial Statements'!B4</f>
        <v>KOHL'S CORP</v>
      </c>
      <c r="C4" s="6"/>
      <c r="D4" s="6"/>
      <c r="E4" s="9"/>
      <c r="F4" s="9"/>
      <c r="G4" s="9"/>
      <c r="H4" s="9"/>
      <c r="I4" s="26"/>
      <c r="J4" s="9"/>
      <c r="K4" s="9"/>
      <c r="L4" s="9"/>
      <c r="M4" s="9"/>
    </row>
    <row r="5" spans="1:13">
      <c r="A5" s="25" t="s">
        <v>288</v>
      </c>
      <c r="B5" s="19">
        <f>'Financial Statements'!F8</f>
        <v>38747</v>
      </c>
    </row>
    <row r="6" spans="1:13">
      <c r="A6" s="25" t="s">
        <v>407</v>
      </c>
      <c r="B6" s="19">
        <f ca="1">'Valuation Parameters'!J11</f>
        <v>42271</v>
      </c>
    </row>
    <row r="7" spans="1:13">
      <c r="A7" t="s">
        <v>553</v>
      </c>
      <c r="B7" s="44">
        <f>'Valuation Parameters'!J9</f>
        <v>0.1</v>
      </c>
    </row>
    <row r="8" spans="1:13">
      <c r="A8" t="s">
        <v>448</v>
      </c>
      <c r="B8" s="44">
        <f>'Forecasting Assumptions'!Q14</f>
        <v>0.03</v>
      </c>
    </row>
    <row r="10" spans="1:13" ht="14" thickBot="1">
      <c r="A10" s="10" t="s">
        <v>531</v>
      </c>
      <c r="B10" s="259">
        <f>'Financial Statements'!G8</f>
        <v>39112</v>
      </c>
      <c r="C10" s="259">
        <f>'Financial Statements'!H8</f>
        <v>39477</v>
      </c>
      <c r="D10" s="259">
        <f>'Financial Statements'!I8</f>
        <v>39843</v>
      </c>
      <c r="E10" s="259">
        <f>'Financial Statements'!J8</f>
        <v>40208</v>
      </c>
      <c r="F10" s="259">
        <f>'Financial Statements'!K8</f>
        <v>40573</v>
      </c>
      <c r="G10" s="259">
        <f>'Financial Statements'!L8</f>
        <v>40938</v>
      </c>
      <c r="H10" s="259">
        <f>'Financial Statements'!M8</f>
        <v>41304</v>
      </c>
      <c r="I10" s="259">
        <f>'Financial Statements'!N8</f>
        <v>41669</v>
      </c>
      <c r="J10" s="259">
        <f>'Financial Statements'!O8</f>
        <v>42034</v>
      </c>
      <c r="K10" s="259">
        <f>'Financial Statements'!P8</f>
        <v>42399</v>
      </c>
      <c r="L10" s="259">
        <f>'Financial Statements'!Q8</f>
        <v>42765</v>
      </c>
      <c r="M10" s="259">
        <f>'Financial Statements'!R8</f>
        <v>43130</v>
      </c>
    </row>
    <row r="11" spans="1:13" ht="18" hidden="1" customHeight="1">
      <c r="A11" s="5">
        <f>B21+B40+B46-B58</f>
        <v>-339.31933427415788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3">
      <c r="A12" s="76" t="s">
        <v>170</v>
      </c>
    </row>
    <row r="13" spans="1:13">
      <c r="A13" t="s">
        <v>210</v>
      </c>
      <c r="B13" s="4">
        <f>'Financial Statements'!G29</f>
        <v>1046887.0229147106</v>
      </c>
      <c r="C13" s="4">
        <f>'Financial Statements'!H29</f>
        <v>1093459.9520091428</v>
      </c>
      <c r="D13" s="4">
        <f>'Financial Statements'!I29</f>
        <v>1140300.6072300265</v>
      </c>
      <c r="E13" s="4">
        <f>'Financial Statements'!J29</f>
        <v>1187266.3253773018</v>
      </c>
      <c r="F13" s="4">
        <f>'Financial Statements'!K29</f>
        <v>1234207.4771479508</v>
      </c>
      <c r="G13" s="4">
        <f>'Financial Statements'!L29</f>
        <v>1280968.1447622164</v>
      </c>
      <c r="H13" s="4">
        <f>'Financial Statements'!M29</f>
        <v>1327386.8816182446</v>
      </c>
      <c r="I13" s="4">
        <f>'Financial Statements'!N29</f>
        <v>1373297.5501042148</v>
      </c>
      <c r="J13" s="4">
        <f>'Financial Statements'!O29</f>
        <v>1418530.2326220849</v>
      </c>
      <c r="K13" s="4">
        <f>'Financial Statements'!P29</f>
        <v>1462912.2098195716</v>
      </c>
      <c r="L13" s="4">
        <f>'Financial Statements'!Q29</f>
        <v>1506268.9990034457</v>
      </c>
      <c r="M13" s="4">
        <f>'Financial Statements'!R29</f>
        <v>1551457.0689735492</v>
      </c>
    </row>
    <row r="14" spans="1:13">
      <c r="A14" t="s">
        <v>564</v>
      </c>
      <c r="B14" s="4">
        <f>'Financial Statements'!F57</f>
        <v>7853000</v>
      </c>
      <c r="C14" s="4">
        <f>'Financial Statements'!G57</f>
        <v>8218107.7192019057</v>
      </c>
      <c r="D14" s="4">
        <f>'Financial Statements'!H57</f>
        <v>8586636.3717829175</v>
      </c>
      <c r="E14" s="4">
        <f>'Financial Statements'!I57</f>
        <v>8957529.3947830312</v>
      </c>
      <c r="F14" s="4">
        <f>'Financial Statements'!J57</f>
        <v>9329669.4041990973</v>
      </c>
      <c r="G14" s="4">
        <f>'Financial Statements'!K57</f>
        <v>9701882.7387488335</v>
      </c>
      <c r="H14" s="4">
        <f>'Financial Statements'!L57</f>
        <v>10072944.678971089</v>
      </c>
      <c r="I14" s="4">
        <f>'Financial Statements'!M57</f>
        <v>10441585.321414189</v>
      </c>
      <c r="J14" s="4">
        <f>'Financial Statements'!N57</f>
        <v>10806496.079159822</v>
      </c>
      <c r="K14" s="4">
        <f>'Financial Statements'!O57</f>
        <v>11166336.771409502</v>
      </c>
      <c r="L14" s="4">
        <f>'Financial Statements'!P57</f>
        <v>11519743.256450083</v>
      </c>
      <c r="M14" s="4">
        <f>'Financial Statements'!Q57</f>
        <v>11865335.554143582</v>
      </c>
    </row>
    <row r="15" spans="1:13">
      <c r="A15" s="78" t="s">
        <v>171</v>
      </c>
      <c r="B15" s="4">
        <f>B13-B7*B14</f>
        <v>261587.02291471057</v>
      </c>
      <c r="C15" s="4">
        <f>C13-B7*C14</f>
        <v>271649.18008895218</v>
      </c>
      <c r="D15" s="4">
        <f>D13-B7*D14</f>
        <v>281636.97005173471</v>
      </c>
      <c r="E15" s="4">
        <f>E13-B7*E14</f>
        <v>291513.38589899859</v>
      </c>
      <c r="F15" s="4">
        <f>F13-B7*F14</f>
        <v>301240.53672804101</v>
      </c>
      <c r="G15" s="4">
        <f>G13-B7*G14</f>
        <v>310779.87088733295</v>
      </c>
      <c r="H15" s="4">
        <f>H13-B7*H14</f>
        <v>320092.41372113558</v>
      </c>
      <c r="I15" s="4">
        <f>I13-B7*I14</f>
        <v>329139.0179627958</v>
      </c>
      <c r="J15" s="4">
        <f>J13-$B$7*J14</f>
        <v>337880.62470610254</v>
      </c>
      <c r="K15" s="4">
        <f>K13-$B$7*K14</f>
        <v>346278.53267862136</v>
      </c>
      <c r="L15" s="4">
        <f>L13-$B$7*L14</f>
        <v>354294.67335843737</v>
      </c>
      <c r="M15" s="4">
        <f>M13-$B$7*M14</f>
        <v>364923.51355919102</v>
      </c>
    </row>
    <row r="16" spans="1:13">
      <c r="A16" s="78" t="s">
        <v>393</v>
      </c>
      <c r="B16" s="4">
        <f>B15/(1+$B$7)^1</f>
        <v>237806.38446791869</v>
      </c>
      <c r="C16" s="4">
        <f>C15/(1+$B$7)^2</f>
        <v>224503.45461896871</v>
      </c>
      <c r="D16" s="4">
        <f>D15/(1+$B$7)^3</f>
        <v>211598.02408094262</v>
      </c>
      <c r="E16" s="4">
        <f>E15/(1+$B$7)^4</f>
        <v>199107.56498804624</v>
      </c>
      <c r="F16" s="4">
        <f>F15/(1+$B$7)^5</f>
        <v>187046.6726242252</v>
      </c>
      <c r="G16" s="4">
        <f>G15/(1+$B$7)^6</f>
        <v>175427.13510137828</v>
      </c>
      <c r="H16" s="4">
        <f>H15/(1+$B$7)^7</f>
        <v>164258.02068506269</v>
      </c>
      <c r="I16" s="4">
        <f>I15/(1+$B$7)^8</f>
        <v>153545.78099462818</v>
      </c>
      <c r="J16" s="4">
        <f>J15/(1+$B$7)^9</f>
        <v>143294.36823206538</v>
      </c>
      <c r="K16" s="4">
        <f>K15/(1+$B$7)^10</f>
        <v>133505.36454774719</v>
      </c>
      <c r="L16" s="4">
        <f>L15/(1+$B$7)^11</f>
        <v>124178.12163088482</v>
      </c>
      <c r="M16" s="4">
        <f>M15/(1+$B$7)^12</f>
        <v>116275.87752710142</v>
      </c>
    </row>
    <row r="17" spans="1:6">
      <c r="A17" s="219" t="s">
        <v>447</v>
      </c>
      <c r="B17" s="4">
        <f>L16+(M15/($B$7-$B$8))/(1+$B$7)^11</f>
        <v>1951370.4827710497</v>
      </c>
      <c r="C17" s="79" t="str">
        <f>IF(($B$7-$B$8)&lt;=0,"Error! cost of equity capital &lt;= growth rate"," ")</f>
        <v xml:space="preserve"> </v>
      </c>
    </row>
    <row r="18" spans="1:6">
      <c r="A18" s="219" t="s">
        <v>446</v>
      </c>
      <c r="B18" s="4">
        <f>SUM(B16:K16)</f>
        <v>1830092.7703409831</v>
      </c>
    </row>
    <row r="19" spans="1:6">
      <c r="A19" s="3" t="s">
        <v>229</v>
      </c>
    </row>
    <row r="20" spans="1:6">
      <c r="A20" s="20">
        <f>'Financial Statements'!F8</f>
        <v>38747</v>
      </c>
      <c r="B20" s="4">
        <f>B14</f>
        <v>7853000</v>
      </c>
    </row>
    <row r="21" spans="1:6" ht="14">
      <c r="A21" s="18" t="s">
        <v>125</v>
      </c>
      <c r="B21" s="4">
        <f>B17+B18+B20</f>
        <v>11634463.253112033</v>
      </c>
    </row>
    <row r="22" spans="1:6">
      <c r="A22" s="78" t="s">
        <v>71</v>
      </c>
      <c r="B22" s="4">
        <f ca="1">B21*(1+(B7/2))*(1+B7*(DAYS360(B5,B6)/360))</f>
        <v>24008199.692098893</v>
      </c>
    </row>
    <row r="23" spans="1:6">
      <c r="A23" s="78" t="s">
        <v>72</v>
      </c>
      <c r="B23" s="4">
        <f>-'Valuation Parameters'!J10</f>
        <v>0</v>
      </c>
    </row>
    <row r="24" spans="1:6">
      <c r="A24" t="s">
        <v>338</v>
      </c>
      <c r="B24" s="4">
        <f ca="1">B22+B23</f>
        <v>24008199.692098893</v>
      </c>
    </row>
    <row r="25" spans="1:6">
      <c r="A25" t="s">
        <v>267</v>
      </c>
      <c r="B25" s="4">
        <f>'Financial Statements'!B5</f>
        <v>307000</v>
      </c>
    </row>
    <row r="26" spans="1:6" ht="14" thickBot="1">
      <c r="A26" t="s">
        <v>268</v>
      </c>
      <c r="B26" s="4">
        <f>B25*'Valuation Parameters'!J12</f>
        <v>307000</v>
      </c>
    </row>
    <row r="27" spans="1:6" ht="14" thickBot="1">
      <c r="A27" t="s">
        <v>126</v>
      </c>
      <c r="B27" s="148">
        <f ca="1">B24/B26</f>
        <v>78.202604860256983</v>
      </c>
    </row>
    <row r="29" spans="1:6" ht="18" hidden="1" customHeight="1"/>
    <row r="30" spans="1:6">
      <c r="A30" s="76" t="s">
        <v>81</v>
      </c>
    </row>
    <row r="31" spans="1:6">
      <c r="A31" s="25" t="s">
        <v>237</v>
      </c>
      <c r="B31" s="41">
        <f>'Valuation Parameters'!J15</f>
        <v>0.08</v>
      </c>
    </row>
    <row r="32" spans="1:6">
      <c r="A32" s="25" t="s">
        <v>238</v>
      </c>
      <c r="B32" s="41">
        <f>'Valuation Parameters'!J16</f>
        <v>0.09</v>
      </c>
      <c r="F32" s="74"/>
    </row>
    <row r="33" spans="1:13">
      <c r="A33" s="25" t="s">
        <v>202</v>
      </c>
      <c r="B33" s="41">
        <f>'Valuation Parameters'!J17</f>
        <v>0.1</v>
      </c>
      <c r="F33" s="74"/>
    </row>
    <row r="34" spans="1:13">
      <c r="A34" s="78" t="s">
        <v>50</v>
      </c>
      <c r="B34" s="243">
        <f>'Valuation Parameters'!J19</f>
        <v>9.3719999999999998E-2</v>
      </c>
      <c r="C34" s="79"/>
    </row>
    <row r="35" spans="1:13">
      <c r="A35" s="25"/>
      <c r="B35" s="41"/>
    </row>
    <row r="36" spans="1:13">
      <c r="A36" t="s">
        <v>90</v>
      </c>
      <c r="B36" s="4">
        <f>-'Financial Statements'!G20</f>
        <v>137048.7444062155</v>
      </c>
      <c r="C36" s="4">
        <f>-'Financial Statements'!H20</f>
        <v>143304.93690770995</v>
      </c>
      <c r="D36" s="4">
        <f>-'Financial Statements'!I20</f>
        <v>149610.46444169909</v>
      </c>
      <c r="E36" s="4">
        <f>-'Financial Statements'!J20</f>
        <v>155946.788354413</v>
      </c>
      <c r="F36" s="4">
        <f>-'Financial Statements'!K20</f>
        <v>162294.37141884581</v>
      </c>
      <c r="G36" s="4">
        <f>-'Financial Statements'!L20</f>
        <v>168632.76108902248</v>
      </c>
      <c r="H36" s="4">
        <f>-'Financial Statements'!M20</f>
        <v>174940.68409965589</v>
      </c>
      <c r="I36" s="4">
        <f>-'Financial Statements'!N20</f>
        <v>181196.15199333258</v>
      </c>
      <c r="J36" s="4">
        <f>-'Financial Statements'!O20</f>
        <v>187376.57701218588</v>
      </c>
      <c r="K36" s="4">
        <f>-'Financial Statements'!P20</f>
        <v>193458.89764663199</v>
      </c>
      <c r="L36" s="4">
        <f>-'Financial Statements'!Q20</f>
        <v>199419.71299234207</v>
      </c>
      <c r="M36" s="4">
        <f>-'Financial Statements'!R20</f>
        <v>205402.30438211231</v>
      </c>
    </row>
    <row r="37" spans="1:13">
      <c r="A37" t="s">
        <v>464</v>
      </c>
      <c r="B37" s="4">
        <f>'Financial Statements'!F44+'Financial Statements'!F49</f>
        <v>2068000</v>
      </c>
      <c r="C37" s="4">
        <f>'Financial Statements'!G44+'Financial Statements'!G49</f>
        <v>2164147.0474098483</v>
      </c>
      <c r="D37" s="4">
        <f>'Financial Statements'!H44+'Financial Statements'!H49</f>
        <v>2261194.9594864477</v>
      </c>
      <c r="E37" s="4">
        <f>'Financial Statements'!I44+'Financial Statements'!I49</f>
        <v>2358865.5021534842</v>
      </c>
      <c r="F37" s="4">
        <f>'Financial Statements'!J44+'Financial Statements'!J49</f>
        <v>2456864.4247910012</v>
      </c>
      <c r="G37" s="4">
        <f>'Financial Statements'!K44+'Financial Statements'!K49</f>
        <v>2554882.6567849973</v>
      </c>
      <c r="H37" s="4">
        <f>'Financial Statements'!L44+'Financial Statements'!L49</f>
        <v>2652597.6819192935</v>
      </c>
      <c r="I37" s="4">
        <f>'Financial Statements'!M44+'Financial Statements'!M49</f>
        <v>2749675.0852775429</v>
      </c>
      <c r="J37" s="4">
        <f>'Financial Statements'!N44+'Financial Statements'!N49</f>
        <v>2845770.2650837274</v>
      </c>
      <c r="K37" s="4">
        <f>'Financial Statements'!O44+'Financial Statements'!O49</f>
        <v>2940530.2996657137</v>
      </c>
      <c r="L37" s="4">
        <f>'Financial Statements'!P44+'Financial Statements'!P49</f>
        <v>3033595.9575116225</v>
      </c>
      <c r="M37" s="4">
        <f>'Financial Statements'!Q44+'Financial Statements'!Q49</f>
        <v>3124603.8362369705</v>
      </c>
    </row>
    <row r="38" spans="1:13">
      <c r="A38" t="s">
        <v>351</v>
      </c>
      <c r="B38" s="4">
        <f>B36-($B$31*B37)</f>
        <v>-28391.255593784503</v>
      </c>
      <c r="C38" s="4">
        <f t="shared" ref="C38:L38" si="0">C36-($B$31*C37)</f>
        <v>-29826.826885077928</v>
      </c>
      <c r="D38" s="4">
        <f t="shared" si="0"/>
        <v>-31285.132317216718</v>
      </c>
      <c r="E38" s="4">
        <f t="shared" si="0"/>
        <v>-32762.451817865745</v>
      </c>
      <c r="F38" s="4">
        <f t="shared" si="0"/>
        <v>-34254.782564434281</v>
      </c>
      <c r="G38" s="4">
        <f t="shared" si="0"/>
        <v>-35757.851453777315</v>
      </c>
      <c r="H38" s="4">
        <f t="shared" si="0"/>
        <v>-37267.130453887599</v>
      </c>
      <c r="I38" s="4">
        <f t="shared" si="0"/>
        <v>-38777.854828870855</v>
      </c>
      <c r="J38" s="4">
        <f t="shared" si="0"/>
        <v>-40285.044194512331</v>
      </c>
      <c r="K38" s="4">
        <f t="shared" si="0"/>
        <v>-41783.526326625113</v>
      </c>
      <c r="L38" s="4">
        <f t="shared" si="0"/>
        <v>-43267.963608587743</v>
      </c>
      <c r="M38" s="4">
        <f>M36-($B$31*M37)</f>
        <v>-44566.002516845329</v>
      </c>
    </row>
    <row r="39" spans="1:13">
      <c r="A39" t="s">
        <v>350</v>
      </c>
      <c r="B39" s="4">
        <f>B38/(1+$B$31)^1</f>
        <v>-26288.199623874538</v>
      </c>
      <c r="C39" s="4">
        <f>C38/(1+$B$31)^2</f>
        <v>-25571.696574998223</v>
      </c>
      <c r="D39" s="4">
        <f>D38/(1+$B$31)^3</f>
        <v>-24835.146697988679</v>
      </c>
      <c r="E39" s="4">
        <f>E38/(1+$B$31)^4</f>
        <v>-24081.38013693675</v>
      </c>
      <c r="F39" s="4">
        <f>F38/(1+$B$31)^5</f>
        <v>-23313.229431398744</v>
      </c>
      <c r="G39" s="4">
        <f>G38/(1+$B$31)^6</f>
        <v>-22533.511908768331</v>
      </c>
      <c r="H39" s="4">
        <f>H38/(1+$B$31)^7</f>
        <v>-21745.01267882438</v>
      </c>
      <c r="I39" s="4">
        <f>I38/(1+$B$31)^8</f>
        <v>-20950.468371773612</v>
      </c>
      <c r="J39" s="4">
        <f>J38/(1+$B$31)^9</f>
        <v>-20152.551749149974</v>
      </c>
      <c r="K39" s="4">
        <f>K38/(1+$B$31)^10</f>
        <v>-19353.857303707719</v>
      </c>
      <c r="L39" s="4">
        <f>L38/(1+$B$31)^11</f>
        <v>-18556.887950169388</v>
      </c>
      <c r="M39" s="4">
        <f>M38/(1+$B$31)^12</f>
        <v>-17697.772767291157</v>
      </c>
    </row>
    <row r="40" spans="1:13" ht="14">
      <c r="A40" s="18" t="s">
        <v>240</v>
      </c>
      <c r="B40" s="4">
        <f>IF($B$31-$B$8&gt;0,B37+SUM(B39:L39)+(M38/($B$31-$B$8))/(1+$B$31)^11,IF(NOT(M38=0),#N/A,B37+SUM(B39:M39)))</f>
        <v>1438346.1657989207</v>
      </c>
      <c r="C40" s="79" t="str">
        <f>IF($B$31-$B$8&gt;0," ",IF(NOT(M38=0),"Error! cost of debt &lt;= growth rate"," "))</f>
        <v xml:space="preserve"> </v>
      </c>
    </row>
    <row r="41" spans="1:13">
      <c r="A41" s="18"/>
      <c r="B41" s="4"/>
    </row>
    <row r="42" spans="1:13">
      <c r="A42" t="s">
        <v>232</v>
      </c>
      <c r="B42" s="4">
        <f>'Financial Statements'!G28</f>
        <v>0</v>
      </c>
      <c r="C42" s="4">
        <f>'Financial Statements'!H28</f>
        <v>0</v>
      </c>
      <c r="D42" s="4">
        <f>'Financial Statements'!I28</f>
        <v>0</v>
      </c>
      <c r="E42" s="4">
        <f>'Financial Statements'!J28</f>
        <v>0</v>
      </c>
      <c r="F42" s="4">
        <f>'Financial Statements'!K28</f>
        <v>0</v>
      </c>
      <c r="G42" s="4">
        <f>'Financial Statements'!L28</f>
        <v>0</v>
      </c>
      <c r="H42" s="4">
        <f>'Financial Statements'!M28</f>
        <v>0</v>
      </c>
      <c r="I42" s="4">
        <f>'Financial Statements'!N28</f>
        <v>0</v>
      </c>
      <c r="J42" s="4">
        <f>'Financial Statements'!O28</f>
        <v>0</v>
      </c>
      <c r="K42" s="4">
        <f>'Financial Statements'!P28</f>
        <v>0</v>
      </c>
      <c r="L42" s="4">
        <f>'Financial Statements'!Q28</f>
        <v>0</v>
      </c>
      <c r="M42" s="4">
        <f>'Financial Statements'!R28</f>
        <v>0</v>
      </c>
    </row>
    <row r="43" spans="1:13">
      <c r="A43" t="s">
        <v>521</v>
      </c>
      <c r="B43" s="4">
        <f>'Financial Statements'!F54</f>
        <v>0</v>
      </c>
      <c r="C43" s="4">
        <f>'Financial Statements'!G54</f>
        <v>0</v>
      </c>
      <c r="D43" s="4">
        <f>'Financial Statements'!H54</f>
        <v>0</v>
      </c>
      <c r="E43" s="4">
        <f>'Financial Statements'!I54</f>
        <v>0</v>
      </c>
      <c r="F43" s="4">
        <f>'Financial Statements'!J54</f>
        <v>0</v>
      </c>
      <c r="G43" s="4">
        <f>'Financial Statements'!K54</f>
        <v>0</v>
      </c>
      <c r="H43" s="4">
        <f>'Financial Statements'!L54</f>
        <v>0</v>
      </c>
      <c r="I43" s="4">
        <f>'Financial Statements'!M54</f>
        <v>0</v>
      </c>
      <c r="J43" s="4">
        <f>'Financial Statements'!N54</f>
        <v>0</v>
      </c>
      <c r="K43" s="4">
        <f>'Financial Statements'!O54</f>
        <v>0</v>
      </c>
      <c r="L43" s="4">
        <f>'Financial Statements'!P54</f>
        <v>0</v>
      </c>
      <c r="M43" s="4">
        <f>'Financial Statements'!Q54</f>
        <v>0</v>
      </c>
    </row>
    <row r="44" spans="1:13">
      <c r="A44" t="s">
        <v>473</v>
      </c>
      <c r="B44" s="4">
        <f t="shared" ref="B44:M44" si="1">B42-($B$32*B43)</f>
        <v>0</v>
      </c>
      <c r="C44" s="4">
        <f t="shared" si="1"/>
        <v>0</v>
      </c>
      <c r="D44" s="4">
        <f t="shared" si="1"/>
        <v>0</v>
      </c>
      <c r="E44" s="4">
        <f t="shared" si="1"/>
        <v>0</v>
      </c>
      <c r="F44" s="4">
        <f t="shared" si="1"/>
        <v>0</v>
      </c>
      <c r="G44" s="4">
        <f t="shared" si="1"/>
        <v>0</v>
      </c>
      <c r="H44" s="4">
        <f t="shared" si="1"/>
        <v>0</v>
      </c>
      <c r="I44" s="4">
        <f t="shared" si="1"/>
        <v>0</v>
      </c>
      <c r="J44" s="4">
        <f t="shared" si="1"/>
        <v>0</v>
      </c>
      <c r="K44" s="4">
        <f t="shared" si="1"/>
        <v>0</v>
      </c>
      <c r="L44" s="4">
        <f t="shared" si="1"/>
        <v>0</v>
      </c>
      <c r="M44" s="4">
        <f t="shared" si="1"/>
        <v>0</v>
      </c>
    </row>
    <row r="45" spans="1:13">
      <c r="A45" t="s">
        <v>309</v>
      </c>
      <c r="B45" s="4">
        <f>B44/(1+$B$32)^1</f>
        <v>0</v>
      </c>
      <c r="C45" s="4">
        <f>C44/(1+$B$32)^2</f>
        <v>0</v>
      </c>
      <c r="D45" s="4">
        <f>D44/(1+$B$32)^3</f>
        <v>0</v>
      </c>
      <c r="E45" s="4">
        <f>E44/(1+$B$32)^4</f>
        <v>0</v>
      </c>
      <c r="F45" s="4">
        <f>F44/(1+$B$32)^5</f>
        <v>0</v>
      </c>
      <c r="G45" s="4">
        <f>G44/(1+$B$32)^6</f>
        <v>0</v>
      </c>
      <c r="H45" s="4">
        <f>H44/(1+$B$32)^7</f>
        <v>0</v>
      </c>
      <c r="I45" s="4">
        <f>I44/(1+$B$32)^8</f>
        <v>0</v>
      </c>
      <c r="J45" s="4">
        <f>J44/(1+$B$32)^9</f>
        <v>0</v>
      </c>
      <c r="K45" s="4">
        <f>K44/(1+$B$32)^10</f>
        <v>0</v>
      </c>
      <c r="L45" s="4">
        <f>L44/(1+$B$32)^11</f>
        <v>0</v>
      </c>
      <c r="M45" s="4">
        <f>M44/(1+$B$32)^12</f>
        <v>0</v>
      </c>
    </row>
    <row r="46" spans="1:13" ht="14">
      <c r="A46" s="18" t="s">
        <v>445</v>
      </c>
      <c r="B46" s="4">
        <f>IF($B$32-$B$8&gt;0,B43+SUM(B45:L45)+(M44/($B$32-$B$8))/(1+$B$32)^11,IF(NOT(M44=0),#N/A,B43+SUM(B45:M45)))</f>
        <v>0</v>
      </c>
      <c r="C46" s="79" t="str">
        <f>IF($B$32-$B$8&gt;0," ",IF(NOT(M44=0),"Error! cost of preferred stock &lt;= growth rate"," "))</f>
        <v xml:space="preserve"> </v>
      </c>
    </row>
    <row r="47" spans="1:13">
      <c r="A47" s="18"/>
      <c r="B47" s="4"/>
      <c r="C47" s="79"/>
    </row>
    <row r="48" spans="1:13">
      <c r="A48" t="s">
        <v>424</v>
      </c>
      <c r="B48" s="4">
        <f>-'Financial Statements'!G27</f>
        <v>0</v>
      </c>
      <c r="C48" s="4">
        <f>-'Financial Statements'!H27</f>
        <v>0</v>
      </c>
      <c r="D48" s="4">
        <f>-'Financial Statements'!I27</f>
        <v>0</v>
      </c>
      <c r="E48" s="4">
        <f>-'Financial Statements'!J27</f>
        <v>0</v>
      </c>
      <c r="F48" s="4">
        <f>-'Financial Statements'!K27</f>
        <v>0</v>
      </c>
      <c r="G48" s="4">
        <f>-'Financial Statements'!L27</f>
        <v>0</v>
      </c>
      <c r="H48" s="4">
        <f>-'Financial Statements'!M27</f>
        <v>0</v>
      </c>
      <c r="I48" s="4">
        <f>-'Financial Statements'!N27</f>
        <v>0</v>
      </c>
      <c r="J48" s="4">
        <f>-'Financial Statements'!O27</f>
        <v>0</v>
      </c>
      <c r="K48" s="4">
        <f>-'Financial Statements'!P27</f>
        <v>0</v>
      </c>
      <c r="L48" s="4">
        <f>-'Financial Statements'!Q27</f>
        <v>0</v>
      </c>
      <c r="M48" s="4">
        <f>-'Financial Statements'!R27</f>
        <v>0</v>
      </c>
    </row>
    <row r="49" spans="1:243">
      <c r="A49" t="s">
        <v>203</v>
      </c>
      <c r="B49" s="4">
        <f>'Financial Statements'!F53</f>
        <v>0</v>
      </c>
      <c r="C49" s="4">
        <f>'Financial Statements'!G53</f>
        <v>0</v>
      </c>
      <c r="D49" s="4">
        <f>'Financial Statements'!H53</f>
        <v>0</v>
      </c>
      <c r="E49" s="4">
        <f>'Financial Statements'!I53</f>
        <v>0</v>
      </c>
      <c r="F49" s="4">
        <f>'Financial Statements'!J53</f>
        <v>0</v>
      </c>
      <c r="G49" s="4">
        <f>'Financial Statements'!K53</f>
        <v>0</v>
      </c>
      <c r="H49" s="4">
        <f>'Financial Statements'!L53</f>
        <v>0</v>
      </c>
      <c r="I49" s="4">
        <f>'Financial Statements'!M53</f>
        <v>0</v>
      </c>
      <c r="J49" s="4">
        <f>'Financial Statements'!N53</f>
        <v>0</v>
      </c>
      <c r="K49" s="4">
        <f>'Financial Statements'!O53</f>
        <v>0</v>
      </c>
      <c r="L49" s="4">
        <f>'Financial Statements'!P53</f>
        <v>0</v>
      </c>
      <c r="M49" s="4">
        <f>'Financial Statements'!Q53</f>
        <v>0</v>
      </c>
    </row>
    <row r="50" spans="1:243">
      <c r="A50" t="s">
        <v>204</v>
      </c>
      <c r="B50" s="4">
        <f>B48-$B$33*B49</f>
        <v>0</v>
      </c>
      <c r="C50" s="4">
        <f t="shared" ref="C50:M50" si="2">C48-$B$33*C49</f>
        <v>0</v>
      </c>
      <c r="D50" s="4">
        <f t="shared" si="2"/>
        <v>0</v>
      </c>
      <c r="E50" s="4">
        <f t="shared" si="2"/>
        <v>0</v>
      </c>
      <c r="F50" s="4">
        <f t="shared" si="2"/>
        <v>0</v>
      </c>
      <c r="G50" s="4">
        <f t="shared" si="2"/>
        <v>0</v>
      </c>
      <c r="H50" s="4">
        <f t="shared" si="2"/>
        <v>0</v>
      </c>
      <c r="I50" s="4">
        <f t="shared" si="2"/>
        <v>0</v>
      </c>
      <c r="J50" s="4">
        <f t="shared" si="2"/>
        <v>0</v>
      </c>
      <c r="K50" s="4">
        <f t="shared" si="2"/>
        <v>0</v>
      </c>
      <c r="L50" s="4">
        <f t="shared" si="2"/>
        <v>0</v>
      </c>
      <c r="M50" s="4">
        <f t="shared" si="2"/>
        <v>0</v>
      </c>
    </row>
    <row r="51" spans="1:243">
      <c r="A51" t="s">
        <v>205</v>
      </c>
      <c r="B51" s="4">
        <f>B50/(1+$B$33)^1</f>
        <v>0</v>
      </c>
      <c r="C51" s="4">
        <f>C50/(1+$B$33)^2</f>
        <v>0</v>
      </c>
      <c r="D51" s="4">
        <f>D50/(1+$B$33)^3</f>
        <v>0</v>
      </c>
      <c r="E51" s="4">
        <f>E50/(1+$B$33)^4</f>
        <v>0</v>
      </c>
      <c r="F51" s="4">
        <f>F50/(1+$B$33)^5</f>
        <v>0</v>
      </c>
      <c r="G51" s="4">
        <f>G50/(1+$B$33)^6</f>
        <v>0</v>
      </c>
      <c r="H51" s="4">
        <f>H50/(1+$B$33)^7</f>
        <v>0</v>
      </c>
      <c r="I51" s="4">
        <f>I50/(1+$B$33)^8</f>
        <v>0</v>
      </c>
      <c r="J51" s="4">
        <f>J50/(1+$B$33)^9</f>
        <v>0</v>
      </c>
      <c r="K51" s="4">
        <f>K50/(1+$B$33)^10</f>
        <v>0</v>
      </c>
      <c r="L51" s="4">
        <f>L50/(1+$B$33)^11</f>
        <v>0</v>
      </c>
      <c r="M51" s="4">
        <f>M50/(1+$B$33)^12</f>
        <v>0</v>
      </c>
    </row>
    <row r="52" spans="1:243" ht="14">
      <c r="A52" s="18" t="s">
        <v>206</v>
      </c>
      <c r="B52" s="4">
        <f>IF($B$33-$B$8&gt;0,B49+SUM(B51:L51)+(M50/($B$33-$B$8))/(1+$B$33)^11,IF(NOT(M50=0),#N/A,B49+SUM(B51:M51)))</f>
        <v>0</v>
      </c>
      <c r="C52" s="79" t="str">
        <f>IF($B$33-$B$8&gt;0," ",IF(NOT(M50=0),"Error! cost of minority interest &lt;= growth rate"," "))</f>
        <v xml:space="preserve"> </v>
      </c>
    </row>
    <row r="53" spans="1:243">
      <c r="A53" s="18"/>
      <c r="B53" s="4"/>
    </row>
    <row r="54" spans="1:243" ht="14">
      <c r="A54" s="72" t="s">
        <v>311</v>
      </c>
      <c r="B54" s="4">
        <f>'Financial Statements'!G71</f>
        <v>1132413.0340649369</v>
      </c>
      <c r="C54" s="4">
        <f>'Financial Statements'!H71</f>
        <v>1182890.1739710702</v>
      </c>
      <c r="D54" s="4">
        <f>'Financial Statements'!I71</f>
        <v>1233665.8277978627</v>
      </c>
      <c r="E54" s="4">
        <f>'Financial Statements'!J71</f>
        <v>1284585.7631979713</v>
      </c>
      <c r="F54" s="4">
        <f>'Financial Statements'!K71</f>
        <v>1335488.1585560592</v>
      </c>
      <c r="G54" s="4">
        <f>'Financial Statements'!L71</f>
        <v>1386204.3325702902</v>
      </c>
      <c r="H54" s="4">
        <f>'Financial Statements'!M71</f>
        <v>1436559.5629424001</v>
      </c>
      <c r="I54" s="4">
        <f>'Financial Statements'!N71</f>
        <v>1486373.9900446383</v>
      </c>
      <c r="J54" s="4">
        <f>'Financial Statements'!O71</f>
        <v>1535463.6002663395</v>
      </c>
      <c r="K54" s="4">
        <f>'Financial Statements'!P71</f>
        <v>1583641.2825952719</v>
      </c>
      <c r="L54" s="4">
        <f>'Financial Statements'!Q71</f>
        <v>1630717.9508771303</v>
      </c>
      <c r="M54" s="4">
        <f>'Financial Statements'!R71</f>
        <v>1679639.4894034441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</row>
    <row r="55" spans="1:243">
      <c r="A55" t="s">
        <v>352</v>
      </c>
      <c r="B55" s="4">
        <f>'Financial Statements'!F75</f>
        <v>9921000</v>
      </c>
      <c r="C55" s="4">
        <f>'Financial Statements'!G75</f>
        <v>10382254.766611755</v>
      </c>
      <c r="D55" s="4">
        <f>'Financial Statements'!H75</f>
        <v>10847831.331269365</v>
      </c>
      <c r="E55" s="4">
        <f>'Financial Statements'!I75</f>
        <v>11316394.896936515</v>
      </c>
      <c r="F55" s="4">
        <f>'Financial Statements'!J75</f>
        <v>11786533.828990098</v>
      </c>
      <c r="G55" s="4">
        <f>'Financial Statements'!K75</f>
        <v>12256765.39553383</v>
      </c>
      <c r="H55" s="4">
        <f>'Financial Statements'!L75</f>
        <v>12725542.360890383</v>
      </c>
      <c r="I55" s="4">
        <f>'Financial Statements'!M75</f>
        <v>13191260.406691732</v>
      </c>
      <c r="J55" s="4">
        <f>'Financial Statements'!N75</f>
        <v>13652266.344243549</v>
      </c>
      <c r="K55" s="4">
        <f>'Financial Statements'!O75</f>
        <v>14106867.071075216</v>
      </c>
      <c r="L55" s="4">
        <f>'Financial Statements'!P75</f>
        <v>14553339.213961706</v>
      </c>
      <c r="M55" s="4">
        <f>'Financial Statements'!Q75</f>
        <v>14989939.390380552</v>
      </c>
    </row>
    <row r="56" spans="1:243">
      <c r="A56" t="s">
        <v>472</v>
      </c>
      <c r="B56" s="4">
        <f t="shared" ref="B56:M56" si="3">B54-($B$34*B55)</f>
        <v>202616.91406493692</v>
      </c>
      <c r="C56" s="4">
        <f t="shared" si="3"/>
        <v>209865.25724421651</v>
      </c>
      <c r="D56" s="4">
        <f t="shared" si="3"/>
        <v>217007.07543129788</v>
      </c>
      <c r="E56" s="4">
        <f t="shared" si="3"/>
        <v>224013.23345708102</v>
      </c>
      <c r="F56" s="4">
        <f t="shared" si="3"/>
        <v>230854.20810310729</v>
      </c>
      <c r="G56" s="4">
        <f t="shared" si="3"/>
        <v>237500.27970085968</v>
      </c>
      <c r="H56" s="4">
        <f t="shared" si="3"/>
        <v>243921.73287975346</v>
      </c>
      <c r="I56" s="4">
        <f t="shared" si="3"/>
        <v>250089.06472948915</v>
      </c>
      <c r="J56" s="4">
        <f t="shared" si="3"/>
        <v>255973.19848383404</v>
      </c>
      <c r="K56" s="4">
        <f t="shared" si="3"/>
        <v>261545.70069410279</v>
      </c>
      <c r="L56" s="4">
        <f t="shared" si="3"/>
        <v>266778.99974463927</v>
      </c>
      <c r="M56" s="4">
        <f t="shared" si="3"/>
        <v>274782.36973697878</v>
      </c>
    </row>
    <row r="57" spans="1:243">
      <c r="A57" t="s">
        <v>310</v>
      </c>
      <c r="B57" s="4">
        <f>B56/(1+$B$34)^1</f>
        <v>185254.83127760023</v>
      </c>
      <c r="C57" s="4">
        <f>C56/(1+$B$34)^2</f>
        <v>175439.84719520313</v>
      </c>
      <c r="D57" s="4">
        <f>D56/(1+$B$34)^3</f>
        <v>165865.25957593584</v>
      </c>
      <c r="E57" s="4">
        <f>E56/(1+$B$34)^4</f>
        <v>156548.55368860872</v>
      </c>
      <c r="F57" s="4">
        <f>F56/(1+$B$34)^5</f>
        <v>147505.09665996933</v>
      </c>
      <c r="G57" s="4">
        <f>G56/(1+$B$34)^6</f>
        <v>138748.15048630963</v>
      </c>
      <c r="H57" s="4">
        <f>H56/(1+$B$34)^7</f>
        <v>130288.90081836538</v>
      </c>
      <c r="I57" s="4">
        <f>I56/(1+$B$34)^8</f>
        <v>122136.50044641069</v>
      </c>
      <c r="J57" s="4">
        <f>J56/(1+$B$34)^9</f>
        <v>114298.12630651495</v>
      </c>
      <c r="K57" s="4">
        <f>K56/(1+$B$34)^10</f>
        <v>106779.048742994</v>
      </c>
      <c r="L57" s="4">
        <f>L56/(1+$B$34)^11</f>
        <v>99582.711696389306</v>
      </c>
      <c r="M57" s="4">
        <f>M56/(1+$B$34)^12</f>
        <v>93781.034494460284</v>
      </c>
    </row>
    <row r="58" spans="1:243">
      <c r="A58" s="78" t="s">
        <v>51</v>
      </c>
      <c r="B58" s="4">
        <f>IF(ISNA($B$34),#N/A,B55+SUM(B57:L57)+(M56/($B$34-$B$8))/(1+$B$34)^11)</f>
        <v>13073148.738245228</v>
      </c>
      <c r="C58" s="79" t="str">
        <f>IF(($B$34-$B$8)&lt;=0,"Error! weighted average cost of capital &lt;= growth rate"," ")</f>
        <v xml:space="preserve"> </v>
      </c>
    </row>
    <row r="59" spans="1:243" ht="14">
      <c r="A59" s="18" t="s">
        <v>423</v>
      </c>
      <c r="B59" s="4">
        <f>-B40</f>
        <v>-1438346.1657989207</v>
      </c>
    </row>
    <row r="60" spans="1:243" ht="14">
      <c r="A60" s="18" t="s">
        <v>552</v>
      </c>
      <c r="B60" s="4">
        <f>-B46</f>
        <v>0</v>
      </c>
    </row>
    <row r="61" spans="1:243" ht="14">
      <c r="A61" s="18" t="s">
        <v>207</v>
      </c>
      <c r="B61" s="4">
        <f>-B52</f>
        <v>0</v>
      </c>
    </row>
    <row r="62" spans="1:243" ht="12.75" customHeight="1">
      <c r="A62" s="18" t="s">
        <v>125</v>
      </c>
      <c r="B62" s="4">
        <f>B58+B59+B60+B61</f>
        <v>11634802.572446307</v>
      </c>
    </row>
    <row r="63" spans="1:243">
      <c r="A63" s="78" t="s">
        <v>258</v>
      </c>
      <c r="B63" s="4">
        <f ca="1">B62*(1+($B$7/2))*(1+$B$7*(DAYS360(B5,B6)/360))</f>
        <v>24008899.891683474</v>
      </c>
    </row>
    <row r="64" spans="1:243">
      <c r="A64" s="78" t="s">
        <v>72</v>
      </c>
      <c r="B64" s="4">
        <f>-'Valuation Parameters'!J10</f>
        <v>0</v>
      </c>
      <c r="D64" s="45"/>
    </row>
    <row r="65" spans="1:2">
      <c r="A65" t="s">
        <v>338</v>
      </c>
      <c r="B65" s="4">
        <f ca="1">B63+B64</f>
        <v>24008899.891683474</v>
      </c>
    </row>
    <row r="66" spans="1:2">
      <c r="A66" t="s">
        <v>267</v>
      </c>
      <c r="B66" s="4">
        <f>'Financial Statements'!B5</f>
        <v>307000</v>
      </c>
    </row>
    <row r="67" spans="1:2" ht="14" thickBot="1">
      <c r="A67" t="s">
        <v>268</v>
      </c>
      <c r="B67" s="4">
        <f>B66*'Valuation Parameters'!J12</f>
        <v>307000</v>
      </c>
    </row>
    <row r="68" spans="1:2" ht="14" thickBot="1">
      <c r="A68" t="s">
        <v>126</v>
      </c>
      <c r="B68" s="148">
        <f ca="1">B65/B67</f>
        <v>78.204885640662781</v>
      </c>
    </row>
  </sheetData>
  <phoneticPr fontId="0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pageSetUpPr fitToPage="1"/>
  </sheetPr>
  <dimension ref="A1:II55"/>
  <sheetViews>
    <sheetView zoomScale="125" workbookViewId="0">
      <pane xSplit="1" ySplit="10" topLeftCell="B11" activePane="bottomRight" state="frozenSplit"/>
      <selection pane="topRight" activeCell="D1" sqref="D1"/>
      <selection pane="bottomLeft" activeCell="A13" sqref="A13"/>
      <selection pane="bottomRight"/>
    </sheetView>
  </sheetViews>
  <sheetFormatPr baseColWidth="10" defaultColWidth="8.83203125" defaultRowHeight="13"/>
  <cols>
    <col min="1" max="1" width="36.6640625" customWidth="1"/>
    <col min="2" max="13" width="15.6640625" customWidth="1"/>
  </cols>
  <sheetData>
    <row r="1" spans="1:13" s="59" customFormat="1" ht="18">
      <c r="A1" s="170" t="s">
        <v>157</v>
      </c>
      <c r="B1" s="179" t="s">
        <v>381</v>
      </c>
      <c r="C1" s="187"/>
      <c r="D1" s="188"/>
      <c r="E1" s="192"/>
      <c r="F1" s="181"/>
      <c r="G1" s="189"/>
      <c r="H1" s="181"/>
      <c r="I1" s="181"/>
      <c r="J1" s="181"/>
      <c r="K1" s="181"/>
      <c r="L1" s="181"/>
      <c r="M1" s="181"/>
    </row>
    <row r="2" spans="1:13" s="59" customFormat="1" ht="18">
      <c r="A2" s="170"/>
      <c r="B2" s="179"/>
      <c r="C2" s="187"/>
      <c r="D2" s="188"/>
      <c r="E2" s="192"/>
      <c r="F2" s="181"/>
      <c r="G2" s="189"/>
      <c r="H2" s="181"/>
      <c r="I2" s="181"/>
      <c r="J2" s="181"/>
      <c r="K2" s="181"/>
      <c r="L2" s="181"/>
      <c r="M2" s="181"/>
    </row>
    <row r="3" spans="1:13" ht="18" customHeight="1">
      <c r="A3" s="166"/>
      <c r="B3" s="164"/>
      <c r="C3" s="165"/>
      <c r="D3" s="193"/>
      <c r="E3" s="194"/>
      <c r="F3" s="164"/>
      <c r="G3" s="191"/>
      <c r="H3" s="164"/>
      <c r="I3" s="164"/>
      <c r="J3" s="164"/>
      <c r="K3" s="164"/>
      <c r="L3" s="164"/>
      <c r="M3" s="164"/>
    </row>
    <row r="4" spans="1:13" s="7" customFormat="1">
      <c r="A4" s="6" t="s">
        <v>412</v>
      </c>
      <c r="B4" s="13" t="str">
        <f>'Financial Statements'!B4</f>
        <v>KOHL'S CORP</v>
      </c>
      <c r="C4" s="6"/>
      <c r="D4" s="6"/>
      <c r="E4" s="9"/>
      <c r="F4" s="9"/>
      <c r="G4" s="9"/>
      <c r="H4" s="9"/>
      <c r="I4" s="26"/>
      <c r="J4" s="9"/>
      <c r="K4" s="9"/>
      <c r="L4" s="9"/>
      <c r="M4" s="9"/>
    </row>
    <row r="5" spans="1:13">
      <c r="A5" s="25" t="s">
        <v>288</v>
      </c>
      <c r="B5" s="40">
        <f>'Financial Statements'!F8</f>
        <v>38747</v>
      </c>
      <c r="C5" s="3"/>
      <c r="D5" s="22"/>
      <c r="E5" s="19"/>
      <c r="G5" s="11"/>
    </row>
    <row r="6" spans="1:13">
      <c r="A6" s="25" t="s">
        <v>407</v>
      </c>
      <c r="B6" s="19">
        <f ca="1">'Valuation Parameters'!J11</f>
        <v>42271</v>
      </c>
      <c r="C6" s="3"/>
      <c r="D6" s="22"/>
      <c r="G6" s="11"/>
    </row>
    <row r="7" spans="1:13">
      <c r="A7" s="25" t="s">
        <v>553</v>
      </c>
      <c r="B7" s="41">
        <f>'Valuation Parameters'!J9</f>
        <v>0.1</v>
      </c>
    </row>
    <row r="8" spans="1:13">
      <c r="A8" s="25" t="s">
        <v>449</v>
      </c>
      <c r="B8" s="41">
        <f>'Forecasting Assumptions'!Q14</f>
        <v>0.03</v>
      </c>
    </row>
    <row r="9" spans="1:13">
      <c r="A9" s="25"/>
      <c r="B9" s="35"/>
    </row>
    <row r="10" spans="1:13" ht="14" thickBot="1">
      <c r="A10" s="10" t="s">
        <v>531</v>
      </c>
      <c r="B10" s="259">
        <f>'Financial Statements'!G8</f>
        <v>39112</v>
      </c>
      <c r="C10" s="259">
        <f>'Financial Statements'!H8</f>
        <v>39477</v>
      </c>
      <c r="D10" s="259">
        <f>'Financial Statements'!I8</f>
        <v>39843</v>
      </c>
      <c r="E10" s="259">
        <f>'Financial Statements'!J8</f>
        <v>40208</v>
      </c>
      <c r="F10" s="259">
        <f>'Financial Statements'!K8</f>
        <v>40573</v>
      </c>
      <c r="G10" s="259">
        <f>'Financial Statements'!L8</f>
        <v>40938</v>
      </c>
      <c r="H10" s="259">
        <f>'Financial Statements'!M8</f>
        <v>41304</v>
      </c>
      <c r="I10" s="259">
        <f>'Financial Statements'!N8</f>
        <v>41669</v>
      </c>
      <c r="J10" s="259">
        <f>'Financial Statements'!O8</f>
        <v>42034</v>
      </c>
      <c r="K10" s="259">
        <f>'Financial Statements'!P8</f>
        <v>42399</v>
      </c>
      <c r="L10" s="259">
        <f>'Financial Statements'!Q8</f>
        <v>42765</v>
      </c>
      <c r="M10" s="259">
        <f>'Financial Statements'!R8</f>
        <v>43130</v>
      </c>
    </row>
    <row r="11" spans="1:13" ht="18" hidden="1" customHeight="1">
      <c r="A11" s="74">
        <f>B17+B33+B37-B45</f>
        <v>-339.31933427229524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>
      <c r="A12" s="76" t="s">
        <v>170</v>
      </c>
    </row>
    <row r="13" spans="1:13">
      <c r="A13" t="s">
        <v>541</v>
      </c>
      <c r="B13" s="4">
        <f>'Cash Flow Analysis'!F64</f>
        <v>681779.30371280573</v>
      </c>
      <c r="C13" s="4">
        <f>'Cash Flow Analysis'!G64</f>
        <v>724931.29942813143</v>
      </c>
      <c r="D13" s="4">
        <f>'Cash Flow Analysis'!H64</f>
        <v>769407.58422991261</v>
      </c>
      <c r="E13" s="4">
        <f>'Cash Flow Analysis'!I64</f>
        <v>815126.31596123613</v>
      </c>
      <c r="F13" s="4">
        <f>'Cash Flow Analysis'!J64</f>
        <v>861994.14259821549</v>
      </c>
      <c r="G13" s="4">
        <f>'Cash Flow Analysis'!K64</f>
        <v>909906.20453996025</v>
      </c>
      <c r="H13" s="4">
        <f>'Cash Flow Analysis'!L64</f>
        <v>958746.23917514458</v>
      </c>
      <c r="I13" s="4">
        <f>'Cash Flow Analysis'!M64</f>
        <v>1008386.7923585828</v>
      </c>
      <c r="J13" s="4">
        <f>'Cash Flow Analysis'!N64</f>
        <v>1058689.5403724033</v>
      </c>
      <c r="K13" s="4">
        <f>'Cash Flow Analysis'!O64</f>
        <v>1109505.7247789891</v>
      </c>
      <c r="L13" s="4">
        <f>'Cash Flow Analysis'!P64</f>
        <v>1160676.7013099454</v>
      </c>
      <c r="M13" s="4">
        <f>'Cash Flow Analysis'!Q64</f>
        <v>1195497.0023492388</v>
      </c>
    </row>
    <row r="14" spans="1:13">
      <c r="A14" s="78" t="s">
        <v>164</v>
      </c>
      <c r="B14" s="4">
        <f>B13/(1+$B$7)^1</f>
        <v>619799.3670116415</v>
      </c>
      <c r="C14" s="4">
        <f>C13/(1+$B$7)^2</f>
        <v>599116.77638688544</v>
      </c>
      <c r="D14" s="4">
        <f>D13/(1+$B$7)^3</f>
        <v>578067.30595786055</v>
      </c>
      <c r="E14" s="4">
        <f>E13/(1+$B$7)^4</f>
        <v>556742.24162368407</v>
      </c>
      <c r="F14" s="4">
        <f>F13/(1+$B$7)^5</f>
        <v>535230.54349132581</v>
      </c>
      <c r="G14" s="4">
        <f>G13/(1+$B$7)^6</f>
        <v>513618.33125698741</v>
      </c>
      <c r="H14" s="4">
        <f>H13/(1+$B$7)^7</f>
        <v>491988.41595588397</v>
      </c>
      <c r="I14" s="4">
        <f>I13/(1+$B$7)^8</f>
        <v>470419.88074129866</v>
      </c>
      <c r="J14" s="4">
        <f>J13/(1+$B$7)^9</f>
        <v>448987.7126677967</v>
      </c>
      <c r="K14" s="4">
        <f>K13/(1+$B$7)^10</f>
        <v>427762.48677218787</v>
      </c>
      <c r="L14" s="4">
        <f>L13/(1+$B$7)^11</f>
        <v>406810.10307932191</v>
      </c>
      <c r="M14" s="4">
        <f>M13/(1+$B$7)^12</f>
        <v>380922.18742881803</v>
      </c>
    </row>
    <row r="15" spans="1:13">
      <c r="A15" s="219" t="s">
        <v>447</v>
      </c>
      <c r="B15" s="4">
        <f>L14+(M13/($B$7-$B$8))/(1+$B$7)^11</f>
        <v>6392730.1912464621</v>
      </c>
      <c r="C15" s="79" t="str">
        <f>IF(($B$7-$B$8)&lt;0,"Error! cost of equity capital &lt; growth rate"," ")</f>
        <v xml:space="preserve"> </v>
      </c>
    </row>
    <row r="16" spans="1:13">
      <c r="A16" s="219" t="s">
        <v>446</v>
      </c>
      <c r="B16" s="4">
        <f>SUM(B14:K14)</f>
        <v>5241733.0618655523</v>
      </c>
    </row>
    <row r="17" spans="1:13" ht="12.75" customHeight="1">
      <c r="A17" s="18" t="s">
        <v>125</v>
      </c>
      <c r="B17" s="4">
        <f>B15+B16</f>
        <v>11634463.253112014</v>
      </c>
    </row>
    <row r="18" spans="1:13">
      <c r="A18" s="78" t="s">
        <v>71</v>
      </c>
      <c r="B18" s="4">
        <f ca="1">B17*(1+(B7/2))*(1+B7*(DAYS360(B5,B6)/360))</f>
        <v>24008199.692098856</v>
      </c>
    </row>
    <row r="19" spans="1:13">
      <c r="A19" s="78" t="s">
        <v>165</v>
      </c>
      <c r="B19" s="4">
        <f>-'Valuation Parameters'!J10</f>
        <v>0</v>
      </c>
    </row>
    <row r="20" spans="1:13">
      <c r="A20" t="s">
        <v>338</v>
      </c>
      <c r="B20" s="48">
        <f ca="1">B18+B19</f>
        <v>24008199.692098856</v>
      </c>
    </row>
    <row r="21" spans="1:13">
      <c r="A21" t="s">
        <v>267</v>
      </c>
      <c r="B21" s="4">
        <f>'Financial Statements'!B5</f>
        <v>307000</v>
      </c>
    </row>
    <row r="22" spans="1:13" ht="14" thickBot="1">
      <c r="A22" t="s">
        <v>268</v>
      </c>
      <c r="B22" s="4">
        <f>B21*'Valuation Parameters'!J12</f>
        <v>307000</v>
      </c>
    </row>
    <row r="23" spans="1:13" ht="14" thickBot="1">
      <c r="A23" t="s">
        <v>126</v>
      </c>
      <c r="B23" s="148">
        <f ca="1">B20/B22</f>
        <v>78.202604860256855</v>
      </c>
    </row>
    <row r="25" spans="1:13">
      <c r="A25" s="76" t="s">
        <v>81</v>
      </c>
    </row>
    <row r="26" spans="1:13">
      <c r="A26" s="25" t="s">
        <v>87</v>
      </c>
      <c r="B26" s="41">
        <f>'Valuation Parameters'!J15</f>
        <v>0.08</v>
      </c>
    </row>
    <row r="27" spans="1:13">
      <c r="A27" s="25" t="s">
        <v>238</v>
      </c>
      <c r="B27" s="41">
        <f>'Valuation Parameters'!J16</f>
        <v>0.09</v>
      </c>
      <c r="F27" s="74"/>
    </row>
    <row r="28" spans="1:13">
      <c r="A28" s="25" t="s">
        <v>202</v>
      </c>
      <c r="B28" s="41">
        <f>'Valuation Parameters'!J17</f>
        <v>0.1</v>
      </c>
      <c r="F28" s="74"/>
    </row>
    <row r="29" spans="1:13">
      <c r="A29" s="78" t="s">
        <v>50</v>
      </c>
      <c r="B29" s="41">
        <f>'Valuation Parameters'!J19</f>
        <v>9.3719999999999998E-2</v>
      </c>
      <c r="C29" s="79"/>
    </row>
    <row r="30" spans="1:13">
      <c r="A30" s="25"/>
      <c r="B30" s="41"/>
    </row>
    <row r="31" spans="1:13">
      <c r="A31" t="s">
        <v>239</v>
      </c>
      <c r="B31" s="4">
        <f>'Cash Flow Analysis'!F90+'Cash Flow Analysis'!F95</f>
        <v>40901.696996367187</v>
      </c>
      <c r="C31" s="4">
        <f>'Cash Flow Analysis'!G90+'Cash Flow Analysis'!G95</f>
        <v>46257.024831110466</v>
      </c>
      <c r="D31" s="4">
        <f>'Cash Flow Analysis'!H90+'Cash Flow Analysis'!H95</f>
        <v>51939.921774662769</v>
      </c>
      <c r="E31" s="4">
        <f>'Cash Flow Analysis'!I90+'Cash Flow Analysis'!I95</f>
        <v>57947.865716895874</v>
      </c>
      <c r="F31" s="4">
        <f>'Cash Flow Analysis'!J90+'Cash Flow Analysis'!J95</f>
        <v>64276.139424849651</v>
      </c>
      <c r="G31" s="4">
        <f>'Cash Flow Analysis'!K90+'Cash Flow Analysis'!K95</f>
        <v>70917.735954726493</v>
      </c>
      <c r="H31" s="4">
        <f>'Cash Flow Analysis'!L90+'Cash Flow Analysis'!L95</f>
        <v>77863.280741406314</v>
      </c>
      <c r="I31" s="4">
        <f>'Cash Flow Analysis'!M90+'Cash Flow Analysis'!M95</f>
        <v>85100.972187147869</v>
      </c>
      <c r="J31" s="4">
        <f>'Cash Flow Analysis'!N90+'Cash Flow Analysis'!N95</f>
        <v>92616.542430199595</v>
      </c>
      <c r="K31" s="4">
        <f>'Cash Flow Analysis'!O90+'Cash Flow Analysis'!O95</f>
        <v>100393.23980072307</v>
      </c>
      <c r="L31" s="4">
        <f>'Cash Flow Analysis'!P90+'Cash Flow Analysis'!P95</f>
        <v>108411.83426699409</v>
      </c>
      <c r="M31" s="4">
        <f>'Cash Flow Analysis'!Q90+'Cash Flow Analysis'!Q95</f>
        <v>111664.18929500361</v>
      </c>
    </row>
    <row r="32" spans="1:13">
      <c r="A32" t="s">
        <v>64</v>
      </c>
      <c r="B32" s="4">
        <f>B31/(1+$B$26)^1</f>
        <v>37871.941663302947</v>
      </c>
      <c r="C32" s="4">
        <f>C31/(1+$B$26)^2</f>
        <v>39657.943099374541</v>
      </c>
      <c r="D32" s="4">
        <f>D31/(1+$B$26)^3</f>
        <v>41231.584500792851</v>
      </c>
      <c r="E32" s="4">
        <f>E31/(1+$B$26)^4</f>
        <v>42593.411207758618</v>
      </c>
      <c r="F32" s="4">
        <f>F31/(1+$B$26)^5</f>
        <v>43745.26046275143</v>
      </c>
      <c r="G32" s="4">
        <f>G31/(1+$B$26)^6</f>
        <v>44690.203205984522</v>
      </c>
      <c r="H32" s="4">
        <f>H31/(1+$B$26)^7</f>
        <v>45432.476456209661</v>
      </c>
      <c r="I32" s="4">
        <f>I31/(1+$B$26)^8</f>
        <v>45977.407313584044</v>
      </c>
      <c r="J32" s="4">
        <f>J31/(1+$B$26)^9</f>
        <v>46331.329689994294</v>
      </c>
      <c r="K32" s="4">
        <f>K31/(1+$B$26)^10</f>
        <v>46501.494923419072</v>
      </c>
      <c r="L32" s="4">
        <f>L31/(1+$B$26)^11</f>
        <v>46495.977466470082</v>
      </c>
      <c r="M32" s="4">
        <f>M31/(1+$B$26)^12</f>
        <v>44343.385917096348</v>
      </c>
    </row>
    <row r="33" spans="1:243" ht="14">
      <c r="A33" s="18" t="s">
        <v>240</v>
      </c>
      <c r="B33" s="4">
        <f>IF($B$26-$B$8&gt;0,SUM(B32:L32)+(M31/($B$26-$B$8))/(1+$B$26)^11,IF(NOT(M31=0),#N/A,SUM(B32:M32)))</f>
        <v>1438346.1657989232</v>
      </c>
      <c r="C33" s="79" t="str">
        <f>IF($B$26-$B$8&gt;0," ",IF(NOT(M31=0),"Error! cost of debt &lt;= growth rate"," "))</f>
        <v xml:space="preserve"> </v>
      </c>
    </row>
    <row r="34" spans="1:243">
      <c r="A34" s="18"/>
      <c r="B34" s="4"/>
    </row>
    <row r="35" spans="1:243">
      <c r="A35" t="s">
        <v>241</v>
      </c>
      <c r="B35" s="4">
        <f>'Cash Flow Analysis'!F92+'Cash Flow Analysis'!F96</f>
        <v>0</v>
      </c>
      <c r="C35" s="4">
        <f>'Cash Flow Analysis'!G92+'Cash Flow Analysis'!G96</f>
        <v>0</v>
      </c>
      <c r="D35" s="4">
        <f>'Cash Flow Analysis'!H92+'Cash Flow Analysis'!H96</f>
        <v>0</v>
      </c>
      <c r="E35" s="4">
        <f>'Cash Flow Analysis'!I92+'Cash Flow Analysis'!I96</f>
        <v>0</v>
      </c>
      <c r="F35" s="4">
        <f>'Cash Flow Analysis'!J92+'Cash Flow Analysis'!J96</f>
        <v>0</v>
      </c>
      <c r="G35" s="4">
        <f>'Cash Flow Analysis'!K92+'Cash Flow Analysis'!K96</f>
        <v>0</v>
      </c>
      <c r="H35" s="4">
        <f>'Cash Flow Analysis'!L92+'Cash Flow Analysis'!L96</f>
        <v>0</v>
      </c>
      <c r="I35" s="4">
        <f>'Cash Flow Analysis'!M92+'Cash Flow Analysis'!M96</f>
        <v>0</v>
      </c>
      <c r="J35" s="4">
        <f>'Cash Flow Analysis'!N92+'Cash Flow Analysis'!N96</f>
        <v>0</v>
      </c>
      <c r="K35" s="4">
        <f>'Cash Flow Analysis'!O92+'Cash Flow Analysis'!O96</f>
        <v>0</v>
      </c>
      <c r="L35" s="4">
        <f>'Cash Flow Analysis'!P92+'Cash Flow Analysis'!P96</f>
        <v>0</v>
      </c>
      <c r="M35" s="4">
        <f>'Cash Flow Analysis'!Q92+'Cash Flow Analysis'!Q96</f>
        <v>0</v>
      </c>
    </row>
    <row r="36" spans="1:243">
      <c r="A36" t="s">
        <v>65</v>
      </c>
      <c r="B36" s="4">
        <f>B35/(1+$B$27)^1</f>
        <v>0</v>
      </c>
      <c r="C36" s="4">
        <f>C35/(1+$B$27)^2</f>
        <v>0</v>
      </c>
      <c r="D36" s="4">
        <f>D35/(1+$B$27)^3</f>
        <v>0</v>
      </c>
      <c r="E36" s="4">
        <f>E35/(1+$B$27)^4</f>
        <v>0</v>
      </c>
      <c r="F36" s="4">
        <f>F35/(1+$B$27)^5</f>
        <v>0</v>
      </c>
      <c r="G36" s="4">
        <f>G35/(1+$B$27)^6</f>
        <v>0</v>
      </c>
      <c r="H36" s="4">
        <f>H35/(1+$B$27)^7</f>
        <v>0</v>
      </c>
      <c r="I36" s="4">
        <f>I35/(1+$B$27)^8</f>
        <v>0</v>
      </c>
      <c r="J36" s="4">
        <f>J35/(1+$B$27)^9</f>
        <v>0</v>
      </c>
      <c r="K36" s="4">
        <f>K35/(1+$B$27)^10</f>
        <v>0</v>
      </c>
      <c r="L36" s="4">
        <f>L35/(1+$B$27)^11</f>
        <v>0</v>
      </c>
      <c r="M36" s="4">
        <f>M35/(1+$B$27)^12</f>
        <v>0</v>
      </c>
    </row>
    <row r="37" spans="1:243" ht="14">
      <c r="A37" s="18" t="s">
        <v>445</v>
      </c>
      <c r="B37" s="4">
        <f>IF($B$27-$B$8&gt;0,SUM(B36:L36)+(M35/($B$27-$B$8))/(1+$B$27)^11,IF(NOT(M35=0),#N/A,SUM(B36:M36)))</f>
        <v>0</v>
      </c>
      <c r="C37" s="79" t="str">
        <f>IF($B$27-$B$8&gt;0," ",IF(NOT(M35=0),"Error! cost of preferred stock &lt;= growth rate"," "))</f>
        <v xml:space="preserve"> </v>
      </c>
    </row>
    <row r="38" spans="1:243">
      <c r="A38" s="18"/>
      <c r="B38" s="4"/>
      <c r="C38" s="79"/>
    </row>
    <row r="39" spans="1:243">
      <c r="A39" t="s">
        <v>219</v>
      </c>
      <c r="B39" s="4">
        <f>'Cash Flow Analysis'!F93</f>
        <v>0</v>
      </c>
      <c r="C39" s="4">
        <f>'Cash Flow Analysis'!G93</f>
        <v>0</v>
      </c>
      <c r="D39" s="4">
        <f>'Cash Flow Analysis'!H93</f>
        <v>0</v>
      </c>
      <c r="E39" s="4">
        <f>'Cash Flow Analysis'!I93</f>
        <v>0</v>
      </c>
      <c r="F39" s="4">
        <f>'Cash Flow Analysis'!J93</f>
        <v>0</v>
      </c>
      <c r="G39" s="4">
        <f>'Cash Flow Analysis'!K93</f>
        <v>0</v>
      </c>
      <c r="H39" s="4">
        <f>'Cash Flow Analysis'!L93</f>
        <v>0</v>
      </c>
      <c r="I39" s="4">
        <f>'Cash Flow Analysis'!M93</f>
        <v>0</v>
      </c>
      <c r="J39" s="4">
        <f>'Cash Flow Analysis'!N93</f>
        <v>0</v>
      </c>
      <c r="K39" s="4">
        <f>'Cash Flow Analysis'!O93</f>
        <v>0</v>
      </c>
      <c r="L39" s="4">
        <f>'Cash Flow Analysis'!P93</f>
        <v>0</v>
      </c>
      <c r="M39" s="4">
        <f>'Cash Flow Analysis'!Q93</f>
        <v>0</v>
      </c>
    </row>
    <row r="40" spans="1:243">
      <c r="A40" t="s">
        <v>341</v>
      </c>
      <c r="B40" s="4">
        <f>B39/(1+$B$28)^1</f>
        <v>0</v>
      </c>
      <c r="C40" s="4">
        <f>C39/(1+$B$28)^2</f>
        <v>0</v>
      </c>
      <c r="D40" s="4">
        <f>D39/(1+$B$28)^3</f>
        <v>0</v>
      </c>
      <c r="E40" s="4">
        <f>E39/(1+$B$28)^4</f>
        <v>0</v>
      </c>
      <c r="F40" s="4">
        <f>F39/(1+$B$28)^5</f>
        <v>0</v>
      </c>
      <c r="G40" s="4">
        <f>G39/(1+$B$28)^6</f>
        <v>0</v>
      </c>
      <c r="H40" s="4">
        <f>H39/(1+$B$28)^7</f>
        <v>0</v>
      </c>
      <c r="I40" s="4">
        <f>I39/(1+$B$28)^8</f>
        <v>0</v>
      </c>
      <c r="J40" s="4">
        <f>J39/(1+$B$28)^9</f>
        <v>0</v>
      </c>
      <c r="K40" s="4">
        <f>K39/(1+$B$28)^10</f>
        <v>0</v>
      </c>
      <c r="L40" s="4">
        <f>L39/(1+$B$28)^11</f>
        <v>0</v>
      </c>
      <c r="M40" s="4">
        <f>M39/(1+$B$28)^12</f>
        <v>0</v>
      </c>
    </row>
    <row r="41" spans="1:243" ht="14">
      <c r="A41" s="18" t="s">
        <v>206</v>
      </c>
      <c r="B41" s="4">
        <f>IF($B$28-$B$8&gt;0,SUM(B40:L40)+(M39/($B$28-$B$8))/(1+$B$28)^11,IF(NOT(M39=0),#N/A,SUM(B40:M40)))</f>
        <v>0</v>
      </c>
      <c r="C41" s="79" t="str">
        <f>IF($B$28-$B$8&gt;0," ",IF(NOT(M39=0),"Error! cost of minority interest &lt;= growth rate"," "))</f>
        <v xml:space="preserve"> </v>
      </c>
    </row>
    <row r="42" spans="1:243">
      <c r="A42" s="18"/>
      <c r="B42" s="4"/>
    </row>
    <row r="43" spans="1:243" ht="14">
      <c r="A43" s="72" t="s">
        <v>471</v>
      </c>
      <c r="B43" s="4">
        <f>'Cash Flow Analysis'!F97</f>
        <v>671158.26745318389</v>
      </c>
      <c r="C43" s="4">
        <f>'Cash Flow Analysis'!G97</f>
        <v>717313.60931345937</v>
      </c>
      <c r="D43" s="4">
        <f>'Cash Flow Analysis'!H97</f>
        <v>765102.26213071251</v>
      </c>
      <c r="E43" s="4">
        <f>'Cash Flow Analysis'!I97</f>
        <v>814446.83114438865</v>
      </c>
      <c r="F43" s="4">
        <f>'Cash Flow Analysis'!J97</f>
        <v>865256.59201232775</v>
      </c>
      <c r="G43" s="4">
        <f>'Cash Flow Analysis'!K97</f>
        <v>917427.36721373815</v>
      </c>
      <c r="H43" s="4">
        <f>'Cash Flow Analysis'!L97</f>
        <v>970841.51714105054</v>
      </c>
      <c r="I43" s="4">
        <f>'Cash Flow Analysis'!M97</f>
        <v>1025368.0524928216</v>
      </c>
      <c r="J43" s="4">
        <f>'Cash Flow Analysis'!N97</f>
        <v>1080862.8734346717</v>
      </c>
      <c r="K43" s="4">
        <f>'Cash Flow Analysis'!O97</f>
        <v>1137169.1397087807</v>
      </c>
      <c r="L43" s="4">
        <f>'Cash Flow Analysis'!P97</f>
        <v>1194117.7744582819</v>
      </c>
      <c r="M43" s="4">
        <f>'Cash Flow Analysis'!Q97</f>
        <v>1229941.3076920251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</row>
    <row r="44" spans="1:243">
      <c r="A44" t="s">
        <v>476</v>
      </c>
      <c r="B44" s="4">
        <f>B43/(1+$B$29)^1</f>
        <v>613647.24742455466</v>
      </c>
      <c r="C44" s="4">
        <f>C43/(1+$B$29)^2</f>
        <v>599648.51572620659</v>
      </c>
      <c r="D44" s="4">
        <f>D43/(1+$B$29)^3</f>
        <v>584791.46386460902</v>
      </c>
      <c r="E44" s="4">
        <f>E43/(1+$B$29)^4</f>
        <v>569164.91719830723</v>
      </c>
      <c r="F44" s="4">
        <f>F43/(1+$B$29)^5</f>
        <v>552858.69938940112</v>
      </c>
      <c r="G44" s="4">
        <f>G43/(1+$B$29)^6</f>
        <v>535962.94946161204</v>
      </c>
      <c r="H44" s="4">
        <f>H43/(1+$B$29)^7</f>
        <v>518567.46278322669</v>
      </c>
      <c r="I44" s="4">
        <f>I43/(1+$B$29)^8</f>
        <v>500761.06181006378</v>
      </c>
      <c r="J44" s="4">
        <f>J43/(1+$B$29)^9</f>
        <v>482631.00183772162</v>
      </c>
      <c r="K44" s="4">
        <f>K43/(1+$B$29)^10</f>
        <v>464262.41637980135</v>
      </c>
      <c r="L44" s="4">
        <f>L43/(1+$B$29)^11</f>
        <v>445737.80612131034</v>
      </c>
      <c r="M44" s="4">
        <f>M43/(1+$B$29)^12</f>
        <v>419769.17337613617</v>
      </c>
    </row>
    <row r="45" spans="1:243">
      <c r="A45" s="78" t="s">
        <v>51</v>
      </c>
      <c r="B45" s="4">
        <f>IF(ISNA($B$29),#N/A,SUM(B44:L44)+(M43/($B$29-$B$8))/(1+$B$29)^11)</f>
        <v>13073148.73824521</v>
      </c>
      <c r="C45" s="79" t="str">
        <f>IF(($B$29-$B$8)&lt;=0,"Error! weighted average cost of capital &lt;= growth rate"," ")</f>
        <v xml:space="preserve"> </v>
      </c>
    </row>
    <row r="46" spans="1:243" ht="14">
      <c r="A46" s="18" t="s">
        <v>88</v>
      </c>
      <c r="B46" s="4">
        <f>-B33</f>
        <v>-1438346.1657989232</v>
      </c>
    </row>
    <row r="47" spans="1:243" ht="14">
      <c r="A47" s="18" t="s">
        <v>552</v>
      </c>
      <c r="B47" s="4">
        <f>-B37</f>
        <v>0</v>
      </c>
    </row>
    <row r="48" spans="1:243" ht="14">
      <c r="A48" s="18" t="s">
        <v>207</v>
      </c>
      <c r="B48" s="4">
        <f>-B41</f>
        <v>0</v>
      </c>
    </row>
    <row r="49" spans="1:4" ht="12.75" customHeight="1">
      <c r="A49" s="18" t="s">
        <v>125</v>
      </c>
      <c r="B49" s="4">
        <f>B45+B46+B47+B48</f>
        <v>11634802.572446287</v>
      </c>
    </row>
    <row r="50" spans="1:4">
      <c r="A50" s="78" t="s">
        <v>152</v>
      </c>
      <c r="B50" s="4">
        <f ca="1">B49*(1+(B7/2))*(1+B7*(DAYS360(B5,B6)/360))</f>
        <v>24008899.891683433</v>
      </c>
    </row>
    <row r="51" spans="1:4">
      <c r="A51" s="78" t="s">
        <v>532</v>
      </c>
      <c r="B51" s="4">
        <f>-'Valuation Parameters'!J10</f>
        <v>0</v>
      </c>
      <c r="D51" s="45"/>
    </row>
    <row r="52" spans="1:4">
      <c r="A52" t="s">
        <v>338</v>
      </c>
      <c r="B52" s="4">
        <f ca="1">B50+B51</f>
        <v>24008899.891683433</v>
      </c>
    </row>
    <row r="53" spans="1:4">
      <c r="A53" t="s">
        <v>267</v>
      </c>
      <c r="B53" s="4">
        <f>'Financial Statements'!B5</f>
        <v>307000</v>
      </c>
    </row>
    <row r="54" spans="1:4" ht="14" thickBot="1">
      <c r="A54" t="s">
        <v>268</v>
      </c>
      <c r="B54" s="4">
        <f>B53*'Valuation Parameters'!J12</f>
        <v>307000</v>
      </c>
    </row>
    <row r="55" spans="1:4" ht="14" thickBot="1">
      <c r="A55" t="s">
        <v>126</v>
      </c>
      <c r="B55" s="148">
        <f ca="1">B52/B54</f>
        <v>78.204885640662653</v>
      </c>
    </row>
  </sheetData>
  <phoneticPr fontId="0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pageSetUpPr fitToPage="1"/>
  </sheetPr>
  <dimension ref="A1:Z69"/>
  <sheetViews>
    <sheetView zoomScale="125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8.83203125" defaultRowHeight="13"/>
  <cols>
    <col min="1" max="1" width="37.1640625" style="89" customWidth="1"/>
    <col min="2" max="26" width="15.6640625" style="89" customWidth="1"/>
    <col min="27" max="16384" width="8.83203125" style="89"/>
  </cols>
  <sheetData>
    <row r="1" spans="1:26" s="101" customFormat="1" ht="18">
      <c r="A1" s="170" t="s">
        <v>533</v>
      </c>
      <c r="B1" s="196" t="s">
        <v>94</v>
      </c>
      <c r="C1" s="170"/>
      <c r="D1" s="170"/>
      <c r="E1" s="181"/>
      <c r="F1" s="181"/>
      <c r="G1" s="189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</row>
    <row r="2" spans="1:26" s="101" customFormat="1" ht="18">
      <c r="A2" s="170"/>
      <c r="B2" s="158"/>
      <c r="C2" s="170"/>
      <c r="D2" s="170"/>
      <c r="E2" s="181"/>
      <c r="F2" s="181"/>
      <c r="G2" s="189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</row>
    <row r="3" spans="1:26" s="58" customFormat="1">
      <c r="A3" s="164"/>
      <c r="B3" s="164"/>
      <c r="C3" s="164"/>
      <c r="D3" s="164"/>
      <c r="E3" s="164"/>
      <c r="F3" s="164"/>
      <c r="G3" s="191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</row>
    <row r="4" spans="1:26" s="51" customFormat="1">
      <c r="A4" s="102" t="s">
        <v>412</v>
      </c>
      <c r="B4" s="103" t="str">
        <f>'Financial Statements'!B4</f>
        <v>KOHL'S CORP</v>
      </c>
      <c r="C4" s="102"/>
      <c r="D4" s="102"/>
      <c r="E4" s="97"/>
      <c r="F4" s="97"/>
      <c r="G4" s="97"/>
      <c r="H4" s="97"/>
      <c r="I4" s="104"/>
      <c r="J4" s="97"/>
      <c r="K4" s="97"/>
      <c r="L4" s="97"/>
      <c r="M4" s="97"/>
      <c r="N4" s="97"/>
      <c r="O4" s="97"/>
      <c r="P4" s="97"/>
      <c r="Q4" s="97"/>
      <c r="R4" s="97"/>
    </row>
    <row r="5" spans="1:26" s="51" customFormat="1">
      <c r="A5" s="102" t="s">
        <v>267</v>
      </c>
      <c r="B5" s="52">
        <f>'Financial Statements'!B5</f>
        <v>307000</v>
      </c>
      <c r="C5" s="102"/>
      <c r="D5" s="102"/>
    </row>
    <row r="6" spans="1:26" s="51" customFormat="1">
      <c r="A6" s="102" t="s">
        <v>268</v>
      </c>
      <c r="B6" s="54">
        <f>B5*'Valuation Parameters'!J12</f>
        <v>307000</v>
      </c>
      <c r="C6" s="102"/>
      <c r="D6" s="102"/>
    </row>
    <row r="7" spans="1:26" s="51" customFormat="1">
      <c r="A7" s="102" t="s">
        <v>269</v>
      </c>
      <c r="B7" s="53">
        <f ca="1">'Residual Income Valuations'!B27</f>
        <v>78.202604860256983</v>
      </c>
      <c r="C7" s="102"/>
      <c r="D7" s="102"/>
    </row>
    <row r="8" spans="1:26" s="51" customFormat="1">
      <c r="A8" s="102"/>
      <c r="C8" s="102"/>
      <c r="D8" s="102"/>
    </row>
    <row r="9" spans="1:26" s="51" customFormat="1">
      <c r="A9" s="102"/>
      <c r="B9" s="105" t="s">
        <v>536</v>
      </c>
      <c r="C9" s="105" t="s">
        <v>536</v>
      </c>
      <c r="D9" s="105" t="s">
        <v>536</v>
      </c>
      <c r="E9" s="105" t="s">
        <v>536</v>
      </c>
      <c r="F9" s="105" t="s">
        <v>536</v>
      </c>
      <c r="G9" s="105" t="s">
        <v>536</v>
      </c>
      <c r="H9" s="105" t="s">
        <v>536</v>
      </c>
      <c r="I9" s="105" t="s">
        <v>536</v>
      </c>
      <c r="J9" s="105" t="s">
        <v>536</v>
      </c>
      <c r="K9" s="105" t="s">
        <v>536</v>
      </c>
      <c r="L9" s="105" t="s">
        <v>536</v>
      </c>
      <c r="M9" s="105" t="s">
        <v>536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 s="58" customFormat="1" ht="14" thickBot="1">
      <c r="A10" s="106" t="s">
        <v>531</v>
      </c>
      <c r="B10" s="264">
        <f>'Financial Statements'!G8</f>
        <v>39112</v>
      </c>
      <c r="C10" s="264">
        <f>'Financial Statements'!H8</f>
        <v>39477</v>
      </c>
      <c r="D10" s="264">
        <f>'Financial Statements'!I8</f>
        <v>39843</v>
      </c>
      <c r="E10" s="264">
        <f>'Financial Statements'!J8</f>
        <v>40208</v>
      </c>
      <c r="F10" s="264">
        <f>'Financial Statements'!K8</f>
        <v>40573</v>
      </c>
      <c r="G10" s="264">
        <f>'Financial Statements'!L8</f>
        <v>40938</v>
      </c>
      <c r="H10" s="264">
        <f>'Financial Statements'!M8</f>
        <v>41304</v>
      </c>
      <c r="I10" s="264">
        <f>'Financial Statements'!N8</f>
        <v>41669</v>
      </c>
      <c r="J10" s="264">
        <f>'Financial Statements'!O8</f>
        <v>42034</v>
      </c>
      <c r="K10" s="264">
        <f>'Financial Statements'!P8</f>
        <v>42399</v>
      </c>
      <c r="L10" s="264">
        <f>'Financial Statements'!Q8</f>
        <v>42765</v>
      </c>
      <c r="M10" s="264">
        <f>'Financial Statements'!R8</f>
        <v>43130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58" customFormat="1">
      <c r="A11" s="58" t="s">
        <v>210</v>
      </c>
      <c r="B11" s="107">
        <f>'Financial Statements'!G29</f>
        <v>1046887.0229147106</v>
      </c>
      <c r="C11" s="107">
        <f>'Financial Statements'!H29</f>
        <v>1093459.9520091428</v>
      </c>
      <c r="D11" s="107">
        <f>'Financial Statements'!I29</f>
        <v>1140300.6072300265</v>
      </c>
      <c r="E11" s="107">
        <f>'Financial Statements'!J29</f>
        <v>1187266.3253773018</v>
      </c>
      <c r="F11" s="107">
        <f>'Financial Statements'!K29</f>
        <v>1234207.4771479508</v>
      </c>
      <c r="G11" s="107">
        <f>'Financial Statements'!L29</f>
        <v>1280968.1447622164</v>
      </c>
      <c r="H11" s="107">
        <f>'Financial Statements'!M29</f>
        <v>1327386.8816182446</v>
      </c>
      <c r="I11" s="107">
        <f>'Financial Statements'!N29</f>
        <v>1373297.5501042148</v>
      </c>
      <c r="J11" s="107">
        <f>'Financial Statements'!O29</f>
        <v>1418530.2326220849</v>
      </c>
      <c r="K11" s="107">
        <f>'Financial Statements'!P29</f>
        <v>1462912.2098195716</v>
      </c>
      <c r="L11" s="107">
        <f>'Financial Statements'!Q29</f>
        <v>1506268.9990034457</v>
      </c>
      <c r="M11" s="107">
        <f>'Financial Statements'!R29</f>
        <v>1551457.0689735492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58" customFormat="1">
      <c r="A12" s="58" t="s">
        <v>216</v>
      </c>
      <c r="B12" s="42">
        <f>'Cash Flow Analysis'!F39</f>
        <v>-681779.30371280573</v>
      </c>
      <c r="C12" s="42">
        <f>'Cash Flow Analysis'!G39</f>
        <v>-724931.29942813143</v>
      </c>
      <c r="D12" s="42">
        <f>'Cash Flow Analysis'!H39</f>
        <v>-769407.58422991261</v>
      </c>
      <c r="E12" s="42">
        <f>'Cash Flow Analysis'!I39</f>
        <v>-815126.31596123613</v>
      </c>
      <c r="F12" s="42">
        <f>'Cash Flow Analysis'!J39</f>
        <v>-861994.14259821549</v>
      </c>
      <c r="G12" s="42">
        <f>'Cash Flow Analysis'!K39</f>
        <v>-909906.20453996025</v>
      </c>
      <c r="H12" s="42">
        <f>'Cash Flow Analysis'!L39</f>
        <v>-958746.23917514458</v>
      </c>
      <c r="I12" s="42">
        <f>'Cash Flow Analysis'!M39</f>
        <v>-1008386.7923585828</v>
      </c>
      <c r="J12" s="42">
        <f>'Cash Flow Analysis'!N39</f>
        <v>-1058689.5403724033</v>
      </c>
      <c r="K12" s="42">
        <f>'Cash Flow Analysis'!O39</f>
        <v>-1109505.7247789893</v>
      </c>
      <c r="L12" s="42">
        <f>'Cash Flow Analysis'!P39</f>
        <v>-1160676.7013099454</v>
      </c>
      <c r="M12" s="42">
        <f>'Cash Flow Analysis'!Q39</f>
        <v>-1195497.0023492388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58" customFormat="1">
      <c r="A13" s="78" t="s">
        <v>334</v>
      </c>
      <c r="B13" s="108">
        <f ca="1">B7*(1+'Valuation Parameters'!J9*(DAYS360('Residual Income Valuations'!B6,'Residual Income Valuations'!B10)/360))+('Financial Statements'!G64/'EPS Forecaster'!B6)*(DAYS360('Residual Income Valuations'!B6,'Residual Income Valuations'!B10)/360)</f>
        <v>10.557351656134685</v>
      </c>
      <c r="C13" s="108">
        <f ca="1">(B13*(1+'Valuation Parameters'!J9))+('Financial Statements'!H64/'EPS Forecaster'!B15)</f>
        <v>11.613086821748155</v>
      </c>
      <c r="D13" s="108">
        <f ca="1">(C13*(1+'Valuation Parameters'!J9))+('Financial Statements'!I64/'EPS Forecaster'!C15)</f>
        <v>12.774395503922971</v>
      </c>
      <c r="E13" s="108">
        <f ca="1">(D13*(1+'Valuation Parameters'!J9))+('Financial Statements'!J64/'EPS Forecaster'!D15)</f>
        <v>14.051835054315269</v>
      </c>
      <c r="F13" s="108">
        <f ca="1">(E13*(1+'Valuation Parameters'!J9))+('Financial Statements'!K64/'EPS Forecaster'!E15)</f>
        <v>15.457018559746798</v>
      </c>
      <c r="G13" s="108">
        <f ca="1">(F13*(1+'Valuation Parameters'!J9))+('Financial Statements'!L64/'EPS Forecaster'!F15)</f>
        <v>17.00272041572148</v>
      </c>
      <c r="H13" s="108">
        <f ca="1">(G13*(1+'Valuation Parameters'!J9))+('Financial Statements'!M64/'EPS Forecaster'!G15)</f>
        <v>18.702992457293629</v>
      </c>
      <c r="I13" s="108">
        <f ca="1">(H13*(1+'Valuation Parameters'!J9))+('Financial Statements'!N64/'EPS Forecaster'!H15)</f>
        <v>20.573291703022992</v>
      </c>
      <c r="J13" s="108">
        <f ca="1">(I13*(1+'Valuation Parameters'!$J$9))+('Financial Statements'!O64/'EPS Forecaster'!I15)</f>
        <v>22.630620873325292</v>
      </c>
      <c r="K13" s="108">
        <f ca="1">(J13*(1+'Valuation Parameters'!$J$9))+('Financial Statements'!P64/'EPS Forecaster'!J15)</f>
        <v>24.893682960657824</v>
      </c>
      <c r="L13" s="108">
        <f ca="1">(K13*(1+'Valuation Parameters'!$J$9))+('Financial Statements'!Q64/'EPS Forecaster'!K15)</f>
        <v>27.383051256723608</v>
      </c>
      <c r="M13" s="108">
        <f ca="1">(L13*(1+'Valuation Parameters'!$J$9))+('Financial Statements'!R64/'EPS Forecaster'!L15)</f>
        <v>30.12135638239597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58" customFormat="1">
      <c r="A14" s="58" t="s">
        <v>41</v>
      </c>
      <c r="B14" s="107">
        <f ca="1">B12/B13</f>
        <v>-64578.629747227962</v>
      </c>
      <c r="C14" s="107">
        <f t="shared" ref="C14:M14" ca="1" si="0">C12/C13</f>
        <v>-62423.652776842428</v>
      </c>
      <c r="D14" s="107">
        <f t="shared" ca="1" si="0"/>
        <v>-60230.449573416627</v>
      </c>
      <c r="E14" s="107">
        <f t="shared" ca="1" si="0"/>
        <v>-58008.531470123802</v>
      </c>
      <c r="F14" s="107">
        <f t="shared" ca="1" si="0"/>
        <v>-55767.167469347711</v>
      </c>
      <c r="G14" s="107">
        <f t="shared" ca="1" si="0"/>
        <v>-53515.33062312899</v>
      </c>
      <c r="H14" s="107">
        <f t="shared" ca="1" si="0"/>
        <v>-51261.649244865155</v>
      </c>
      <c r="I14" s="107">
        <f t="shared" ca="1" si="0"/>
        <v>-49014.363229507544</v>
      </c>
      <c r="J14" s="107">
        <f t="shared" ca="1" si="0"/>
        <v>-46781.285688024604</v>
      </c>
      <c r="K14" s="107">
        <f t="shared" ca="1" si="0"/>
        <v>-44569.770030913511</v>
      </c>
      <c r="L14" s="107">
        <f t="shared" ca="1" si="0"/>
        <v>-42386.682566098403</v>
      </c>
      <c r="M14" s="107">
        <f t="shared" ca="1" si="0"/>
        <v>-39689.34822098288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58" customFormat="1">
      <c r="A15" s="58" t="s">
        <v>42</v>
      </c>
      <c r="B15" s="107">
        <f ca="1">B6+B14</f>
        <v>242421.37025277203</v>
      </c>
      <c r="C15" s="107">
        <f ca="1">B15+C14</f>
        <v>179997.71747592959</v>
      </c>
      <c r="D15" s="107">
        <f t="shared" ref="D15:M15" ca="1" si="1">C15+D14</f>
        <v>119767.26790251296</v>
      </c>
      <c r="E15" s="107">
        <f t="shared" ca="1" si="1"/>
        <v>61758.73643238916</v>
      </c>
      <c r="F15" s="107">
        <f t="shared" ca="1" si="1"/>
        <v>5991.568963041449</v>
      </c>
      <c r="G15" s="107">
        <f t="shared" ca="1" si="1"/>
        <v>-47523.761660087541</v>
      </c>
      <c r="H15" s="107">
        <f t="shared" ca="1" si="1"/>
        <v>-98785.410904952703</v>
      </c>
      <c r="I15" s="107">
        <f t="shared" ca="1" si="1"/>
        <v>-147799.77413446025</v>
      </c>
      <c r="J15" s="107">
        <f t="shared" ca="1" si="1"/>
        <v>-194581.05982248485</v>
      </c>
      <c r="K15" s="107">
        <f t="shared" ca="1" si="1"/>
        <v>-239150.82985339838</v>
      </c>
      <c r="L15" s="107">
        <f t="shared" ca="1" si="1"/>
        <v>-281537.51241949678</v>
      </c>
      <c r="M15" s="107">
        <f t="shared" ca="1" si="1"/>
        <v>-321226.86064047966</v>
      </c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58" customFormat="1">
      <c r="A16" s="58" t="s">
        <v>451</v>
      </c>
      <c r="B16" s="108">
        <f ca="1">B11/((B6+B15)/2)</f>
        <v>3.8108711440658736</v>
      </c>
      <c r="C16" s="108">
        <f ca="1">C11/((B15+C15)/2)</f>
        <v>5.1771332488242896</v>
      </c>
      <c r="D16" s="108">
        <f t="shared" ref="D16:M16" ca="1" si="2">D11/((C15+D15)/2)</f>
        <v>7.6079639907939072</v>
      </c>
      <c r="E16" s="108">
        <f t="shared" ca="1" si="2"/>
        <v>13.080950354494474</v>
      </c>
      <c r="F16" s="108">
        <f t="shared" ca="1" si="2"/>
        <v>36.434004834203783</v>
      </c>
      <c r="G16" s="108">
        <f t="shared" ca="1" si="2"/>
        <v>-61.685553378130365</v>
      </c>
      <c r="H16" s="108">
        <f t="shared" ca="1" si="2"/>
        <v>-18.144957808823207</v>
      </c>
      <c r="I16" s="108">
        <f t="shared" ca="1" si="2"/>
        <v>-11.138524399871905</v>
      </c>
      <c r="J16" s="108">
        <f t="shared" ca="1" si="2"/>
        <v>-8.2862712624881745</v>
      </c>
      <c r="K16" s="108">
        <f t="shared" ca="1" si="2"/>
        <v>-6.7456981819472324</v>
      </c>
      <c r="L16" s="108">
        <f t="shared" ca="1" si="2"/>
        <v>-5.7856835911797821</v>
      </c>
      <c r="M16" s="108">
        <f t="shared" ca="1" si="2"/>
        <v>-5.1478061355798674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58" customFormat="1">
      <c r="A17" s="117" t="s">
        <v>323</v>
      </c>
      <c r="B17" s="118"/>
      <c r="C17" s="118"/>
      <c r="D17" s="95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</row>
    <row r="18" spans="1:26" s="58" customFormat="1">
      <c r="A18" s="109"/>
      <c r="B18" s="107"/>
    </row>
    <row r="19" spans="1:26" s="58" customFormat="1" ht="12" customHeight="1">
      <c r="A19" s="109" t="s">
        <v>337</v>
      </c>
      <c r="B19" s="110">
        <f ca="1">(G16/B16)^(1/5)-1</f>
        <v>-2.7451462973362641</v>
      </c>
    </row>
    <row r="20" spans="1:26" s="58" customFormat="1" ht="12" customHeight="1">
      <c r="A20" s="116" t="s">
        <v>509</v>
      </c>
      <c r="B20" s="119"/>
    </row>
    <row r="21" spans="1:26" s="58" customFormat="1" ht="12" customHeight="1">
      <c r="B21" s="110"/>
    </row>
    <row r="22" spans="1:26" s="113" customFormat="1" ht="12" customHeight="1">
      <c r="A22" s="115"/>
      <c r="B22" s="114"/>
    </row>
    <row r="23" spans="1:26" s="113" customFormat="1" ht="12" customHeight="1">
      <c r="B23" s="114"/>
      <c r="C23" s="297" t="str">
        <f>HYPERLINK(CONCATENATE("http://biz.yahoo.com/z/a/",LEFT(TRIM('Financial Statements'!D4),1),"/",TRIM('Financial Statements'!D4),".html"),"To obtain analyst forecasts, click here")</f>
        <v>To obtain analyst forecasts, click here</v>
      </c>
      <c r="D23" s="298"/>
      <c r="E23" s="221"/>
      <c r="F23" s="221"/>
      <c r="G23" s="221"/>
    </row>
    <row r="24" spans="1:26" s="58" customFormat="1" ht="12" customHeight="1">
      <c r="A24" s="109"/>
      <c r="B24" s="110"/>
      <c r="C24" s="220"/>
    </row>
    <row r="25" spans="1:26" s="58" customFormat="1" ht="12" customHeight="1">
      <c r="A25" s="109"/>
      <c r="B25" s="110"/>
    </row>
    <row r="26" spans="1:26" s="58" customFormat="1" ht="12" customHeight="1">
      <c r="A26" s="109"/>
      <c r="B26" s="110"/>
    </row>
    <row r="27" spans="1:26" s="58" customFormat="1" ht="12" customHeight="1">
      <c r="A27" s="109"/>
      <c r="B27" s="110"/>
    </row>
    <row r="28" spans="1:26" s="58" customFormat="1" ht="12" customHeight="1">
      <c r="A28" s="109"/>
      <c r="B28" s="110"/>
    </row>
    <row r="29" spans="1:26" s="58" customFormat="1" ht="12" customHeight="1">
      <c r="A29" s="109"/>
      <c r="B29" s="110"/>
    </row>
    <row r="30" spans="1:26" s="58" customFormat="1" ht="12" customHeight="1">
      <c r="A30" s="109"/>
      <c r="B30" s="110"/>
    </row>
    <row r="31" spans="1:26" s="58" customFormat="1" ht="12" customHeight="1">
      <c r="A31" s="109"/>
      <c r="B31" s="110"/>
    </row>
    <row r="32" spans="1:26" s="58" customFormat="1" ht="12" customHeight="1">
      <c r="A32" s="109"/>
      <c r="B32" s="110"/>
    </row>
    <row r="33" spans="1:2" s="58" customFormat="1" ht="12" customHeight="1">
      <c r="A33" s="109"/>
      <c r="B33" s="110"/>
    </row>
    <row r="34" spans="1:2" s="58" customFormat="1" ht="12" customHeight="1">
      <c r="A34" s="109"/>
      <c r="B34" s="110"/>
    </row>
    <row r="35" spans="1:2" s="58" customFormat="1" ht="12" customHeight="1">
      <c r="A35" s="109"/>
      <c r="B35" s="110"/>
    </row>
    <row r="36" spans="1:2" s="58" customFormat="1" ht="12" customHeight="1">
      <c r="A36" s="109"/>
      <c r="B36" s="110"/>
    </row>
    <row r="37" spans="1:2" s="58" customFormat="1" ht="12" customHeight="1">
      <c r="A37" s="109"/>
      <c r="B37" s="110"/>
    </row>
    <row r="38" spans="1:2" s="58" customFormat="1" ht="12" customHeight="1">
      <c r="A38" s="109"/>
      <c r="B38" s="110"/>
    </row>
    <row r="39" spans="1:2" s="58" customFormat="1" ht="12" customHeight="1">
      <c r="A39" s="109"/>
      <c r="B39" s="110"/>
    </row>
    <row r="40" spans="1:2" s="58" customFormat="1" ht="12" customHeight="1">
      <c r="A40" s="109"/>
      <c r="B40" s="110"/>
    </row>
    <row r="41" spans="1:2" s="58" customFormat="1" ht="12" customHeight="1">
      <c r="A41" s="109"/>
      <c r="B41" s="110"/>
    </row>
    <row r="42" spans="1:2" s="58" customFormat="1" ht="12" customHeight="1">
      <c r="A42" s="109"/>
      <c r="B42" s="110"/>
    </row>
    <row r="43" spans="1:2" s="58" customFormat="1" ht="12" customHeight="1">
      <c r="A43" s="109"/>
      <c r="B43" s="110"/>
    </row>
    <row r="44" spans="1:2" s="58" customFormat="1" ht="12" customHeight="1">
      <c r="A44" s="109"/>
      <c r="B44" s="110"/>
    </row>
    <row r="45" spans="1:2" s="58" customFormat="1" ht="12" customHeight="1">
      <c r="A45" s="109"/>
      <c r="B45" s="110"/>
    </row>
    <row r="46" spans="1:2" s="58" customFormat="1" ht="12" customHeight="1">
      <c r="A46" s="109"/>
      <c r="B46" s="110"/>
    </row>
    <row r="47" spans="1:2" s="58" customFormat="1" ht="12" customHeight="1">
      <c r="A47" s="109"/>
      <c r="B47" s="110"/>
    </row>
    <row r="48" spans="1:2" s="58" customFormat="1" ht="12" customHeight="1">
      <c r="A48" s="109"/>
      <c r="B48" s="110"/>
    </row>
    <row r="49" spans="1:2" s="58" customFormat="1" ht="12" customHeight="1">
      <c r="A49" s="109"/>
      <c r="B49" s="110"/>
    </row>
    <row r="50" spans="1:2" s="58" customFormat="1" ht="12" customHeight="1">
      <c r="A50" s="109"/>
      <c r="B50" s="110"/>
    </row>
    <row r="51" spans="1:2" s="58" customFormat="1" ht="12" customHeight="1">
      <c r="A51" s="109"/>
      <c r="B51" s="110"/>
    </row>
    <row r="52" spans="1:2" s="58" customFormat="1" ht="12" customHeight="1">
      <c r="A52" s="109"/>
      <c r="B52" s="110"/>
    </row>
    <row r="53" spans="1:2" s="58" customFormat="1" ht="12" customHeight="1">
      <c r="A53" s="109"/>
      <c r="B53" s="110"/>
    </row>
    <row r="54" spans="1:2" s="58" customFormat="1" ht="12" customHeight="1">
      <c r="A54" s="109"/>
      <c r="B54" s="110"/>
    </row>
    <row r="55" spans="1:2" s="58" customFormat="1" ht="12" customHeight="1">
      <c r="A55" s="109"/>
      <c r="B55" s="110"/>
    </row>
    <row r="56" spans="1:2" s="58" customFormat="1" ht="12" customHeight="1">
      <c r="A56" s="109"/>
      <c r="B56" s="110"/>
    </row>
    <row r="57" spans="1:2" s="58" customFormat="1" ht="12" customHeight="1">
      <c r="A57" s="109"/>
      <c r="B57" s="110"/>
    </row>
    <row r="58" spans="1:2" s="58" customFormat="1" ht="12" customHeight="1">
      <c r="A58" s="109"/>
      <c r="B58" s="110"/>
    </row>
    <row r="59" spans="1:2" s="58" customFormat="1" ht="12" customHeight="1">
      <c r="A59" s="109"/>
      <c r="B59" s="110"/>
    </row>
    <row r="60" spans="1:2" s="58" customFormat="1" ht="12" customHeight="1">
      <c r="A60" s="109"/>
      <c r="B60" s="110"/>
    </row>
    <row r="61" spans="1:2" s="58" customFormat="1" ht="12" customHeight="1">
      <c r="A61" s="109"/>
      <c r="B61" s="110"/>
    </row>
    <row r="62" spans="1:2" s="58" customFormat="1" ht="12" customHeight="1">
      <c r="A62" s="109"/>
      <c r="B62" s="110"/>
    </row>
    <row r="63" spans="1:2" s="58" customFormat="1" ht="12" customHeight="1">
      <c r="A63" s="109"/>
      <c r="B63" s="110"/>
    </row>
    <row r="64" spans="1:2" s="58" customFormat="1" ht="12" customHeight="1">
      <c r="A64" s="109"/>
      <c r="B64" s="110"/>
    </row>
    <row r="65" spans="1:2" s="58" customFormat="1" ht="12" customHeight="1">
      <c r="A65" s="109"/>
      <c r="B65" s="110"/>
    </row>
    <row r="66" spans="1:2" s="58" customFormat="1" ht="12" customHeight="1">
      <c r="A66" s="109"/>
      <c r="B66" s="110"/>
    </row>
    <row r="67" spans="1:2" s="58" customFormat="1" ht="12" customHeight="1">
      <c r="A67" s="109"/>
      <c r="B67" s="110"/>
    </row>
    <row r="68" spans="1:2" s="58" customFormat="1" ht="12" customHeight="1">
      <c r="A68" s="109"/>
      <c r="B68" s="110"/>
    </row>
    <row r="69" spans="1:2" s="58" customFormat="1" ht="12" customHeight="1">
      <c r="A69" s="109"/>
      <c r="B69" s="110"/>
    </row>
  </sheetData>
  <mergeCells count="1">
    <mergeCell ref="C23:D23"/>
  </mergeCells>
  <phoneticPr fontId="0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6"/>
  <dimension ref="A1:DC201"/>
  <sheetViews>
    <sheetView showGridLines="0" zoomScale="125" workbookViewId="0"/>
  </sheetViews>
  <sheetFormatPr baseColWidth="10" defaultColWidth="8.83203125" defaultRowHeight="13"/>
  <cols>
    <col min="1" max="1" width="27.33203125" style="89" customWidth="1"/>
    <col min="2" max="2" width="18.33203125" style="89" customWidth="1"/>
    <col min="3" max="16384" width="8.83203125" style="89"/>
  </cols>
  <sheetData>
    <row r="1" spans="1:3" ht="18">
      <c r="A1" s="197" t="s">
        <v>335</v>
      </c>
      <c r="B1" s="198"/>
      <c r="C1" s="199"/>
    </row>
    <row r="2" spans="1:3" ht="18">
      <c r="A2" s="200"/>
      <c r="B2" s="158"/>
      <c r="C2" s="201"/>
    </row>
    <row r="3" spans="1:3" ht="14" thickBot="1">
      <c r="A3" s="202"/>
      <c r="B3" s="203"/>
      <c r="C3" s="204"/>
    </row>
    <row r="4" spans="1:3">
      <c r="A4" s="151" t="s">
        <v>96</v>
      </c>
      <c r="B4" s="91"/>
      <c r="C4" s="149"/>
    </row>
    <row r="5" spans="1:3">
      <c r="A5" s="155" t="str">
        <f>'Financial Statements'!B4</f>
        <v>KOHL'S CORP</v>
      </c>
      <c r="B5" s="93"/>
      <c r="C5" s="149"/>
    </row>
    <row r="6" spans="1:3">
      <c r="A6" s="150" t="s">
        <v>520</v>
      </c>
      <c r="B6" s="265">
        <f>'Financial Statements'!F8</f>
        <v>38747</v>
      </c>
      <c r="C6" s="149"/>
    </row>
    <row r="7" spans="1:3">
      <c r="A7" s="150" t="s">
        <v>278</v>
      </c>
      <c r="B7" s="156">
        <f>AVERAGE('Ratio Analysis'!C19:F19)</f>
        <v>0.16266689214001115</v>
      </c>
      <c r="C7" s="149"/>
    </row>
    <row r="8" spans="1:3">
      <c r="A8" s="150" t="s">
        <v>562</v>
      </c>
      <c r="B8" s="156">
        <f>(('Financial Statements'!F12/'Financial Statements'!B12)^(1/4))-1</f>
        <v>6.4018032461217178E-2</v>
      </c>
      <c r="C8" s="149"/>
    </row>
    <row r="9" spans="1:3">
      <c r="A9" s="150"/>
      <c r="B9" s="91"/>
      <c r="C9" s="149"/>
    </row>
    <row r="10" spans="1:3">
      <c r="A10" s="151" t="s">
        <v>563</v>
      </c>
      <c r="B10" s="91"/>
      <c r="C10" s="149"/>
    </row>
    <row r="11" spans="1:3">
      <c r="A11" s="150" t="s">
        <v>217</v>
      </c>
      <c r="B11" s="141" t="s">
        <v>450</v>
      </c>
      <c r="C11" s="149"/>
    </row>
    <row r="12" spans="1:3">
      <c r="A12" s="150" t="s">
        <v>234</v>
      </c>
      <c r="B12" s="140">
        <f>'Ratio Analysis'!G19</f>
        <v>0.13028187492812091</v>
      </c>
      <c r="C12" s="149"/>
    </row>
    <row r="13" spans="1:3">
      <c r="A13" s="150" t="s">
        <v>218</v>
      </c>
      <c r="B13" s="140">
        <f>'Ratio Analysis'!Q19</f>
        <v>0.12882308511366586</v>
      </c>
      <c r="C13" s="149"/>
    </row>
    <row r="14" spans="1:3">
      <c r="A14" s="150" t="s">
        <v>235</v>
      </c>
      <c r="B14" s="140">
        <f>'Ratio Analysis'!G10</f>
        <v>4.6492769540545487E-2</v>
      </c>
      <c r="C14" s="149"/>
    </row>
    <row r="15" spans="1:3">
      <c r="A15" s="150" t="s">
        <v>467</v>
      </c>
      <c r="B15" s="140">
        <f>'Ratio Analysis'!Q10</f>
        <v>3.0000000000000027E-2</v>
      </c>
      <c r="C15" s="149"/>
    </row>
    <row r="16" spans="1:3">
      <c r="A16" s="150" t="s">
        <v>236</v>
      </c>
      <c r="B16" s="142">
        <f ca="1">'EPS Forecaster'!B16</f>
        <v>3.8108711440658736</v>
      </c>
      <c r="C16" s="149"/>
    </row>
    <row r="17" spans="1:3">
      <c r="A17" s="150" t="s">
        <v>466</v>
      </c>
      <c r="B17" s="140">
        <f ca="1">'EPS Forecaster'!B19</f>
        <v>-2.7451462973362641</v>
      </c>
      <c r="C17" s="149"/>
    </row>
    <row r="18" spans="1:3">
      <c r="A18" s="150"/>
      <c r="B18" s="91"/>
      <c r="C18" s="149"/>
    </row>
    <row r="19" spans="1:3">
      <c r="A19" s="151" t="s">
        <v>468</v>
      </c>
      <c r="B19" s="91"/>
      <c r="C19" s="149"/>
    </row>
    <row r="20" spans="1:3">
      <c r="A20" s="150" t="s">
        <v>477</v>
      </c>
      <c r="B20" s="140">
        <f>'Valuation Parameters'!J9</f>
        <v>0.1</v>
      </c>
      <c r="C20" s="149"/>
    </row>
    <row r="21" spans="1:3" ht="14" thickBot="1">
      <c r="A21" s="150" t="s">
        <v>255</v>
      </c>
      <c r="B21" s="266">
        <f ca="1">'Valuation Parameters'!J11</f>
        <v>42271</v>
      </c>
      <c r="C21" s="149"/>
    </row>
    <row r="22" spans="1:3" ht="15" thickTop="1" thickBot="1">
      <c r="A22" s="150" t="s">
        <v>469</v>
      </c>
      <c r="B22" s="145">
        <f ca="1">'Residual Income Valuations'!B27</f>
        <v>78.202604860256983</v>
      </c>
      <c r="C22" s="149"/>
    </row>
    <row r="23" spans="1:3" ht="14" thickTop="1">
      <c r="A23" s="150" t="s">
        <v>224</v>
      </c>
      <c r="B23" s="143">
        <f ca="1">B22/'Model Summary'!B16</f>
        <v>20.520926030792396</v>
      </c>
      <c r="C23" s="149"/>
    </row>
    <row r="24" spans="1:3">
      <c r="A24" s="150" t="s">
        <v>225</v>
      </c>
      <c r="B24" s="144">
        <f ca="1">(B22*'Residual Income Valuations'!B26)/'Financial Statements'!F57</f>
        <v>3.057201030446822</v>
      </c>
      <c r="C24" s="149"/>
    </row>
    <row r="25" spans="1:3" ht="14" thickBot="1">
      <c r="A25" s="152"/>
      <c r="B25" s="153"/>
      <c r="C25" s="154"/>
    </row>
    <row r="101" spans="30:98"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  <c r="CH101" s="146"/>
      <c r="CI101" s="146"/>
      <c r="CJ101" s="146"/>
      <c r="CK101" s="146"/>
      <c r="CL101" s="146"/>
      <c r="CM101" s="146"/>
      <c r="CN101" s="146"/>
      <c r="CO101" s="146"/>
      <c r="CP101" s="146"/>
      <c r="CQ101" s="146"/>
      <c r="CR101" s="146"/>
      <c r="CS101" s="146"/>
      <c r="CT101" s="146"/>
    </row>
    <row r="102" spans="30:98"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  <c r="CH102" s="146"/>
      <c r="CI102" s="146"/>
      <c r="CJ102" s="146"/>
      <c r="CK102" s="146"/>
      <c r="CL102" s="146"/>
      <c r="CM102" s="146"/>
      <c r="CN102" s="146"/>
      <c r="CO102" s="146"/>
      <c r="CP102" s="146"/>
      <c r="CQ102" s="146"/>
      <c r="CR102" s="146"/>
      <c r="CS102" s="146"/>
      <c r="CT102" s="146"/>
    </row>
    <row r="103" spans="30:98"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  <c r="CH103" s="146"/>
      <c r="CI103" s="146"/>
      <c r="CJ103" s="146"/>
      <c r="CK103" s="146"/>
      <c r="CL103" s="146"/>
      <c r="CM103" s="146"/>
      <c r="CN103" s="146"/>
      <c r="CO103" s="146"/>
      <c r="CP103" s="146"/>
      <c r="CQ103" s="146"/>
      <c r="CR103" s="146"/>
      <c r="CS103" s="146"/>
      <c r="CT103" s="146"/>
    </row>
    <row r="104" spans="30:98"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  <c r="CH104" s="146"/>
      <c r="CI104" s="146"/>
      <c r="CJ104" s="146"/>
      <c r="CK104" s="146"/>
      <c r="CL104" s="146"/>
      <c r="CM104" s="146"/>
      <c r="CN104" s="146"/>
      <c r="CO104" s="146"/>
      <c r="CP104" s="146"/>
      <c r="CQ104" s="146"/>
      <c r="CR104" s="146"/>
      <c r="CS104" s="146"/>
      <c r="CT104" s="146"/>
    </row>
    <row r="105" spans="30:98"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  <c r="CH105" s="146"/>
      <c r="CI105" s="146"/>
      <c r="CJ105" s="146"/>
      <c r="CK105" s="146"/>
      <c r="CL105" s="146"/>
      <c r="CM105" s="146"/>
      <c r="CN105" s="146"/>
      <c r="CO105" s="146"/>
      <c r="CP105" s="146"/>
      <c r="CQ105" s="146"/>
      <c r="CR105" s="146"/>
      <c r="CS105" s="146"/>
      <c r="CT105" s="146"/>
    </row>
    <row r="106" spans="30:98"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  <c r="CH106" s="146"/>
      <c r="CI106" s="146"/>
      <c r="CJ106" s="146"/>
      <c r="CK106" s="146"/>
      <c r="CL106" s="146"/>
      <c r="CM106" s="146"/>
      <c r="CN106" s="146"/>
      <c r="CO106" s="146"/>
      <c r="CP106" s="146"/>
      <c r="CQ106" s="146"/>
      <c r="CR106" s="146"/>
      <c r="CS106" s="146"/>
      <c r="CT106" s="146"/>
    </row>
    <row r="107" spans="30:98"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  <c r="CH107" s="146"/>
      <c r="CI107" s="146"/>
      <c r="CJ107" s="146"/>
      <c r="CK107" s="146"/>
      <c r="CL107" s="146"/>
      <c r="CM107" s="146"/>
      <c r="CN107" s="146"/>
      <c r="CO107" s="146"/>
      <c r="CP107" s="146"/>
      <c r="CQ107" s="146"/>
      <c r="CR107" s="146"/>
      <c r="CS107" s="146"/>
      <c r="CT107" s="146"/>
    </row>
    <row r="108" spans="30:98"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  <c r="CH108" s="146"/>
      <c r="CI108" s="146"/>
      <c r="CJ108" s="146"/>
      <c r="CK108" s="146"/>
      <c r="CL108" s="146"/>
      <c r="CM108" s="146"/>
      <c r="CN108" s="146"/>
      <c r="CO108" s="146"/>
      <c r="CP108" s="146"/>
      <c r="CQ108" s="146"/>
      <c r="CR108" s="146"/>
      <c r="CS108" s="146"/>
      <c r="CT108" s="146"/>
    </row>
    <row r="109" spans="30:98"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  <c r="CH109" s="146"/>
      <c r="CI109" s="146"/>
      <c r="CJ109" s="146"/>
      <c r="CK109" s="146"/>
      <c r="CL109" s="146"/>
      <c r="CM109" s="146"/>
      <c r="CN109" s="146"/>
      <c r="CO109" s="146"/>
      <c r="CP109" s="146"/>
      <c r="CQ109" s="146"/>
      <c r="CR109" s="146"/>
      <c r="CS109" s="146"/>
      <c r="CT109" s="146"/>
    </row>
    <row r="110" spans="30:98"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  <c r="CH110" s="146"/>
      <c r="CI110" s="146"/>
      <c r="CJ110" s="146"/>
      <c r="CK110" s="146"/>
      <c r="CL110" s="146"/>
      <c r="CM110" s="146"/>
      <c r="CN110" s="146"/>
      <c r="CO110" s="146"/>
      <c r="CP110" s="146"/>
      <c r="CQ110" s="146"/>
      <c r="CR110" s="146"/>
      <c r="CS110" s="146"/>
      <c r="CT110" s="146"/>
    </row>
    <row r="111" spans="30:98"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  <c r="CH111" s="146"/>
      <c r="CI111" s="146"/>
      <c r="CJ111" s="146"/>
      <c r="CK111" s="146"/>
      <c r="CL111" s="146"/>
      <c r="CM111" s="146"/>
      <c r="CN111" s="146"/>
      <c r="CO111" s="146"/>
      <c r="CP111" s="146"/>
      <c r="CQ111" s="146"/>
      <c r="CR111" s="146"/>
      <c r="CS111" s="146"/>
      <c r="CT111" s="146"/>
    </row>
    <row r="112" spans="30:98"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  <c r="CH112" s="146"/>
      <c r="CI112" s="146"/>
      <c r="CJ112" s="146"/>
      <c r="CK112" s="146"/>
      <c r="CL112" s="146"/>
      <c r="CM112" s="146"/>
      <c r="CN112" s="146"/>
      <c r="CO112" s="146"/>
      <c r="CP112" s="146"/>
      <c r="CQ112" s="146"/>
      <c r="CR112" s="146"/>
      <c r="CS112" s="146"/>
      <c r="CT112" s="146"/>
    </row>
    <row r="113" spans="30:98"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  <c r="CH113" s="146"/>
      <c r="CI113" s="146"/>
      <c r="CJ113" s="146"/>
      <c r="CK113" s="146"/>
      <c r="CL113" s="146"/>
      <c r="CM113" s="146"/>
      <c r="CN113" s="146"/>
      <c r="CO113" s="146"/>
      <c r="CP113" s="146"/>
      <c r="CQ113" s="146"/>
      <c r="CR113" s="146"/>
      <c r="CS113" s="146"/>
      <c r="CT113" s="146"/>
    </row>
    <row r="114" spans="30:98"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  <c r="CH114" s="146"/>
      <c r="CI114" s="146"/>
      <c r="CJ114" s="146"/>
      <c r="CK114" s="146"/>
      <c r="CL114" s="146"/>
      <c r="CM114" s="146"/>
      <c r="CN114" s="146"/>
      <c r="CO114" s="146"/>
      <c r="CP114" s="146"/>
      <c r="CQ114" s="146"/>
      <c r="CR114" s="146"/>
      <c r="CS114" s="146"/>
      <c r="CT114" s="146"/>
    </row>
    <row r="115" spans="30:98"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  <c r="CH115" s="146"/>
      <c r="CI115" s="146"/>
      <c r="CJ115" s="146"/>
      <c r="CK115" s="146"/>
      <c r="CL115" s="146"/>
      <c r="CM115" s="146"/>
      <c r="CN115" s="146"/>
      <c r="CO115" s="146"/>
      <c r="CP115" s="146"/>
      <c r="CQ115" s="146"/>
      <c r="CR115" s="146"/>
      <c r="CS115" s="146"/>
      <c r="CT115" s="146"/>
    </row>
    <row r="116" spans="30:98"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  <c r="CH116" s="146"/>
      <c r="CI116" s="146"/>
      <c r="CJ116" s="146"/>
      <c r="CK116" s="146"/>
      <c r="CL116" s="146"/>
      <c r="CM116" s="146"/>
      <c r="CN116" s="146"/>
      <c r="CO116" s="146"/>
      <c r="CP116" s="146"/>
      <c r="CQ116" s="146"/>
      <c r="CR116" s="146"/>
      <c r="CS116" s="146"/>
      <c r="CT116" s="146"/>
    </row>
    <row r="117" spans="30:98"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  <c r="CH117" s="146"/>
      <c r="CI117" s="146"/>
      <c r="CJ117" s="146"/>
      <c r="CK117" s="146"/>
      <c r="CL117" s="146"/>
      <c r="CM117" s="146"/>
      <c r="CN117" s="146"/>
      <c r="CO117" s="146"/>
      <c r="CP117" s="146"/>
      <c r="CQ117" s="146"/>
      <c r="CR117" s="146"/>
      <c r="CS117" s="146"/>
      <c r="CT117" s="146"/>
    </row>
    <row r="118" spans="30:98"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  <c r="CH118" s="146"/>
      <c r="CI118" s="146"/>
      <c r="CJ118" s="146"/>
      <c r="CK118" s="146"/>
      <c r="CL118" s="146"/>
      <c r="CM118" s="146"/>
      <c r="CN118" s="146"/>
      <c r="CO118" s="146"/>
      <c r="CP118" s="146"/>
      <c r="CQ118" s="146"/>
      <c r="CR118" s="146"/>
      <c r="CS118" s="146"/>
      <c r="CT118" s="146"/>
    </row>
    <row r="119" spans="30:98"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  <c r="CH119" s="146"/>
      <c r="CI119" s="146"/>
      <c r="CJ119" s="146"/>
      <c r="CK119" s="146"/>
      <c r="CL119" s="146"/>
      <c r="CM119" s="146"/>
      <c r="CN119" s="146"/>
      <c r="CO119" s="146"/>
      <c r="CP119" s="146"/>
      <c r="CQ119" s="146"/>
      <c r="CR119" s="146"/>
      <c r="CS119" s="146"/>
      <c r="CT119" s="146"/>
    </row>
    <row r="120" spans="30:98"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  <c r="CH120" s="146"/>
      <c r="CI120" s="146"/>
      <c r="CJ120" s="146"/>
      <c r="CK120" s="146"/>
      <c r="CL120" s="146"/>
      <c r="CM120" s="146"/>
      <c r="CN120" s="146"/>
      <c r="CO120" s="146"/>
      <c r="CP120" s="146"/>
      <c r="CQ120" s="146"/>
      <c r="CR120" s="146"/>
      <c r="CS120" s="146"/>
      <c r="CT120" s="146"/>
    </row>
    <row r="121" spans="30:98"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  <c r="CH121" s="146"/>
      <c r="CI121" s="146"/>
      <c r="CJ121" s="146"/>
      <c r="CK121" s="146"/>
      <c r="CL121" s="146"/>
      <c r="CM121" s="146"/>
      <c r="CN121" s="146"/>
      <c r="CO121" s="146"/>
      <c r="CP121" s="146"/>
      <c r="CQ121" s="146"/>
      <c r="CR121" s="146"/>
      <c r="CS121" s="146"/>
      <c r="CT121" s="146"/>
    </row>
    <row r="122" spans="30:98"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  <c r="CH122" s="146"/>
      <c r="CI122" s="146"/>
      <c r="CJ122" s="146"/>
      <c r="CK122" s="146"/>
      <c r="CL122" s="146"/>
      <c r="CM122" s="146"/>
      <c r="CN122" s="146"/>
      <c r="CO122" s="146"/>
      <c r="CP122" s="146"/>
      <c r="CQ122" s="146"/>
      <c r="CR122" s="146"/>
      <c r="CS122" s="146"/>
      <c r="CT122" s="146"/>
    </row>
    <row r="123" spans="30:98"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  <c r="CH123" s="146"/>
      <c r="CI123" s="146"/>
      <c r="CJ123" s="146"/>
      <c r="CK123" s="146"/>
      <c r="CL123" s="146"/>
      <c r="CM123" s="146"/>
      <c r="CN123" s="146"/>
      <c r="CO123" s="146"/>
      <c r="CP123" s="146"/>
      <c r="CQ123" s="146"/>
      <c r="CR123" s="146"/>
      <c r="CS123" s="146"/>
      <c r="CT123" s="146"/>
    </row>
    <row r="124" spans="30:98"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  <c r="CH124" s="146"/>
      <c r="CI124" s="146"/>
      <c r="CJ124" s="146"/>
      <c r="CK124" s="146"/>
      <c r="CL124" s="146"/>
      <c r="CM124" s="146"/>
      <c r="CN124" s="146"/>
      <c r="CO124" s="146"/>
      <c r="CP124" s="146"/>
      <c r="CQ124" s="146"/>
      <c r="CR124" s="146"/>
      <c r="CS124" s="146"/>
      <c r="CT124" s="146"/>
    </row>
    <row r="125" spans="30:98"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  <c r="CH125" s="146"/>
      <c r="CI125" s="146"/>
      <c r="CJ125" s="146"/>
      <c r="CK125" s="146"/>
      <c r="CL125" s="146"/>
      <c r="CM125" s="146"/>
      <c r="CN125" s="146"/>
      <c r="CO125" s="146"/>
      <c r="CP125" s="146"/>
      <c r="CQ125" s="146"/>
      <c r="CR125" s="146"/>
      <c r="CS125" s="146"/>
      <c r="CT125" s="146"/>
    </row>
    <row r="126" spans="30:98"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  <c r="CH126" s="146"/>
      <c r="CI126" s="146"/>
      <c r="CJ126" s="146"/>
      <c r="CK126" s="146"/>
      <c r="CL126" s="146"/>
      <c r="CM126" s="146"/>
      <c r="CN126" s="146"/>
      <c r="CO126" s="146"/>
      <c r="CP126" s="146"/>
      <c r="CQ126" s="146"/>
      <c r="CR126" s="146"/>
      <c r="CS126" s="146"/>
      <c r="CT126" s="146"/>
    </row>
    <row r="127" spans="30:98"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  <c r="CH127" s="146"/>
      <c r="CI127" s="146"/>
      <c r="CJ127" s="146"/>
      <c r="CK127" s="146"/>
      <c r="CL127" s="146"/>
      <c r="CM127" s="146"/>
      <c r="CN127" s="146"/>
      <c r="CO127" s="146"/>
      <c r="CP127" s="146"/>
      <c r="CQ127" s="146"/>
      <c r="CR127" s="146"/>
      <c r="CS127" s="146"/>
      <c r="CT127" s="146"/>
    </row>
    <row r="128" spans="30:98"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  <c r="CH128" s="146"/>
      <c r="CI128" s="146"/>
      <c r="CJ128" s="146"/>
      <c r="CK128" s="146"/>
      <c r="CL128" s="146"/>
      <c r="CM128" s="146"/>
      <c r="CN128" s="146"/>
      <c r="CO128" s="146"/>
      <c r="CP128" s="146"/>
      <c r="CQ128" s="146"/>
      <c r="CR128" s="146"/>
      <c r="CS128" s="146"/>
      <c r="CT128" s="146"/>
    </row>
    <row r="129" spans="30:98"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  <c r="CH129" s="146"/>
      <c r="CI129" s="146"/>
      <c r="CJ129" s="146"/>
      <c r="CK129" s="146"/>
      <c r="CL129" s="146"/>
      <c r="CM129" s="146"/>
      <c r="CN129" s="146"/>
      <c r="CO129" s="146"/>
      <c r="CP129" s="146"/>
      <c r="CQ129" s="146"/>
      <c r="CR129" s="146"/>
      <c r="CS129" s="146"/>
      <c r="CT129" s="146"/>
    </row>
    <row r="130" spans="30:98"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  <c r="CH130" s="146"/>
      <c r="CI130" s="146"/>
      <c r="CJ130" s="146"/>
      <c r="CK130" s="146"/>
      <c r="CL130" s="146"/>
      <c r="CM130" s="146"/>
      <c r="CN130" s="146"/>
      <c r="CO130" s="146"/>
      <c r="CP130" s="146"/>
      <c r="CQ130" s="146"/>
      <c r="CR130" s="146"/>
      <c r="CS130" s="146"/>
      <c r="CT130" s="146"/>
    </row>
    <row r="131" spans="30:98"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  <c r="CH131" s="146"/>
      <c r="CI131" s="146"/>
      <c r="CJ131" s="146"/>
      <c r="CK131" s="146"/>
      <c r="CL131" s="146"/>
      <c r="CM131" s="146"/>
      <c r="CN131" s="146"/>
      <c r="CO131" s="146"/>
      <c r="CP131" s="146"/>
      <c r="CQ131" s="146"/>
      <c r="CR131" s="146"/>
      <c r="CS131" s="146"/>
      <c r="CT131" s="146"/>
    </row>
    <row r="132" spans="30:98"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  <c r="CH132" s="146"/>
      <c r="CI132" s="146"/>
      <c r="CJ132" s="146"/>
      <c r="CK132" s="146"/>
      <c r="CL132" s="146"/>
      <c r="CM132" s="146"/>
      <c r="CN132" s="146"/>
      <c r="CO132" s="146"/>
      <c r="CP132" s="146"/>
      <c r="CQ132" s="146"/>
      <c r="CR132" s="146"/>
      <c r="CS132" s="146"/>
      <c r="CT132" s="146"/>
    </row>
    <row r="133" spans="30:98">
      <c r="AD133" s="146"/>
      <c r="AE133" s="146"/>
      <c r="AF133" s="146"/>
      <c r="AG133" s="146"/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  <c r="CH133" s="146"/>
      <c r="CI133" s="146"/>
      <c r="CJ133" s="146"/>
      <c r="CK133" s="146"/>
      <c r="CL133" s="146"/>
      <c r="CM133" s="146"/>
      <c r="CN133" s="146"/>
      <c r="CO133" s="146"/>
      <c r="CP133" s="146"/>
      <c r="CQ133" s="146"/>
      <c r="CR133" s="146"/>
      <c r="CS133" s="146"/>
      <c r="CT133" s="146"/>
    </row>
    <row r="134" spans="30:98">
      <c r="AD134" s="146"/>
      <c r="AE134" s="146"/>
      <c r="AF134" s="146"/>
      <c r="AG134" s="146"/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  <c r="CH134" s="146"/>
      <c r="CI134" s="146"/>
      <c r="CJ134" s="146"/>
      <c r="CK134" s="146"/>
      <c r="CL134" s="146"/>
      <c r="CM134" s="146"/>
      <c r="CN134" s="146"/>
      <c r="CO134" s="146"/>
      <c r="CP134" s="146"/>
      <c r="CQ134" s="146"/>
      <c r="CR134" s="146"/>
      <c r="CS134" s="146"/>
      <c r="CT134" s="146"/>
    </row>
    <row r="135" spans="30:98">
      <c r="AD135" s="146"/>
      <c r="AE135" s="146"/>
      <c r="AF135" s="146"/>
      <c r="AG135" s="146"/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  <c r="CH135" s="146"/>
      <c r="CI135" s="146"/>
      <c r="CJ135" s="146"/>
      <c r="CK135" s="146"/>
      <c r="CL135" s="146"/>
      <c r="CM135" s="146"/>
      <c r="CN135" s="146"/>
      <c r="CO135" s="146"/>
      <c r="CP135" s="146"/>
      <c r="CQ135" s="146"/>
      <c r="CR135" s="146"/>
      <c r="CS135" s="146"/>
      <c r="CT135" s="146"/>
    </row>
    <row r="136" spans="30:98"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  <c r="CH136" s="146"/>
      <c r="CI136" s="146"/>
      <c r="CJ136" s="146"/>
      <c r="CK136" s="146"/>
      <c r="CL136" s="146"/>
      <c r="CM136" s="146"/>
      <c r="CN136" s="146"/>
      <c r="CO136" s="146"/>
      <c r="CP136" s="146"/>
      <c r="CQ136" s="146"/>
      <c r="CR136" s="146"/>
      <c r="CS136" s="146"/>
      <c r="CT136" s="146"/>
    </row>
    <row r="137" spans="30:98">
      <c r="AD137" s="146"/>
      <c r="AE137" s="146"/>
      <c r="AF137" s="146"/>
      <c r="AG137" s="146"/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  <c r="CH137" s="146"/>
      <c r="CI137" s="146"/>
      <c r="CJ137" s="146"/>
      <c r="CK137" s="146"/>
      <c r="CL137" s="146"/>
      <c r="CM137" s="146"/>
      <c r="CN137" s="146"/>
      <c r="CO137" s="146"/>
      <c r="CP137" s="146"/>
      <c r="CQ137" s="146"/>
      <c r="CR137" s="146"/>
      <c r="CS137" s="146"/>
      <c r="CT137" s="146"/>
    </row>
    <row r="138" spans="30:98">
      <c r="AD138" s="146"/>
      <c r="AE138" s="146"/>
      <c r="AF138" s="146"/>
      <c r="AG138" s="146"/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  <c r="CH138" s="146"/>
      <c r="CI138" s="146"/>
      <c r="CJ138" s="146"/>
      <c r="CK138" s="146"/>
      <c r="CL138" s="146"/>
      <c r="CM138" s="146"/>
      <c r="CN138" s="146"/>
      <c r="CO138" s="146"/>
      <c r="CP138" s="146"/>
      <c r="CQ138" s="146"/>
      <c r="CR138" s="146"/>
      <c r="CS138" s="146"/>
      <c r="CT138" s="146"/>
    </row>
    <row r="139" spans="30:98">
      <c r="AD139" s="146"/>
      <c r="AE139" s="146"/>
      <c r="AF139" s="146"/>
      <c r="AG139" s="146"/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  <c r="CH139" s="146"/>
      <c r="CI139" s="146"/>
      <c r="CJ139" s="146"/>
      <c r="CK139" s="146"/>
      <c r="CL139" s="146"/>
      <c r="CM139" s="146"/>
      <c r="CN139" s="146"/>
      <c r="CO139" s="146"/>
      <c r="CP139" s="146"/>
      <c r="CQ139" s="146"/>
      <c r="CR139" s="146"/>
      <c r="CS139" s="146"/>
      <c r="CT139" s="146"/>
    </row>
    <row r="140" spans="30:98">
      <c r="AD140" s="146"/>
      <c r="AE140" s="146"/>
      <c r="AF140" s="146"/>
      <c r="AG140" s="146"/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  <c r="CH140" s="146"/>
      <c r="CI140" s="146"/>
      <c r="CJ140" s="146"/>
      <c r="CK140" s="146"/>
      <c r="CL140" s="146"/>
      <c r="CM140" s="146"/>
      <c r="CN140" s="146"/>
      <c r="CO140" s="146"/>
      <c r="CP140" s="146"/>
      <c r="CQ140" s="146"/>
      <c r="CR140" s="146"/>
      <c r="CS140" s="146"/>
      <c r="CT140" s="146"/>
    </row>
    <row r="141" spans="30:98">
      <c r="AD141" s="146"/>
      <c r="AE141" s="146"/>
      <c r="AF141" s="146"/>
      <c r="AG141" s="146"/>
      <c r="AH141" s="146"/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  <c r="CH141" s="146"/>
      <c r="CI141" s="146"/>
      <c r="CJ141" s="146"/>
      <c r="CK141" s="146"/>
      <c r="CL141" s="146"/>
      <c r="CM141" s="146"/>
      <c r="CN141" s="146"/>
      <c r="CO141" s="146"/>
      <c r="CP141" s="146"/>
      <c r="CQ141" s="146"/>
      <c r="CR141" s="146"/>
      <c r="CS141" s="146"/>
      <c r="CT141" s="146"/>
    </row>
    <row r="142" spans="30:98"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  <c r="CH142" s="146"/>
      <c r="CI142" s="146"/>
      <c r="CJ142" s="146"/>
      <c r="CK142" s="146"/>
      <c r="CL142" s="146"/>
      <c r="CM142" s="146"/>
      <c r="CN142" s="146"/>
      <c r="CO142" s="146"/>
      <c r="CP142" s="146"/>
      <c r="CQ142" s="146"/>
      <c r="CR142" s="146"/>
      <c r="CS142" s="146"/>
      <c r="CT142" s="146"/>
    </row>
    <row r="143" spans="30:98">
      <c r="AD143" s="146"/>
      <c r="AE143" s="146"/>
      <c r="AF143" s="146"/>
      <c r="AG143" s="146"/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  <c r="CH143" s="146"/>
      <c r="CI143" s="146"/>
      <c r="CJ143" s="146"/>
      <c r="CK143" s="146"/>
      <c r="CL143" s="146"/>
      <c r="CM143" s="146"/>
      <c r="CN143" s="146"/>
      <c r="CO143" s="146"/>
      <c r="CP143" s="146"/>
      <c r="CQ143" s="146"/>
      <c r="CR143" s="146"/>
      <c r="CS143" s="146"/>
      <c r="CT143" s="146"/>
    </row>
    <row r="144" spans="30:98">
      <c r="AD144" s="146"/>
      <c r="AE144" s="146"/>
      <c r="AF144" s="146"/>
      <c r="AG144" s="146"/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  <c r="CH144" s="146"/>
      <c r="CI144" s="146"/>
      <c r="CJ144" s="146"/>
      <c r="CK144" s="146"/>
      <c r="CL144" s="146"/>
      <c r="CM144" s="146"/>
      <c r="CN144" s="146"/>
      <c r="CO144" s="146"/>
      <c r="CP144" s="146"/>
      <c r="CQ144" s="146"/>
      <c r="CR144" s="146"/>
      <c r="CS144" s="146"/>
      <c r="CT144" s="146"/>
    </row>
    <row r="145" spans="1:107">
      <c r="AD145" s="146"/>
      <c r="AE145" s="146"/>
      <c r="AF145" s="146"/>
      <c r="AG145" s="146"/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  <c r="CH145" s="146"/>
      <c r="CI145" s="146"/>
      <c r="CJ145" s="146"/>
      <c r="CK145" s="146"/>
      <c r="CL145" s="146"/>
      <c r="CM145" s="146"/>
      <c r="CN145" s="146"/>
      <c r="CO145" s="146"/>
      <c r="CP145" s="146"/>
      <c r="CQ145" s="146"/>
      <c r="CR145" s="146"/>
      <c r="CS145" s="146"/>
      <c r="CT145" s="146"/>
    </row>
    <row r="146" spans="1:107">
      <c r="AD146" s="146"/>
      <c r="AE146" s="146"/>
      <c r="AF146" s="146"/>
      <c r="AG146" s="146"/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  <c r="CH146" s="146"/>
      <c r="CI146" s="146"/>
      <c r="CJ146" s="146"/>
      <c r="CK146" s="146"/>
      <c r="CL146" s="146"/>
      <c r="CM146" s="146"/>
      <c r="CN146" s="146"/>
      <c r="CO146" s="146"/>
      <c r="CP146" s="146"/>
      <c r="CQ146" s="146"/>
      <c r="CR146" s="146"/>
      <c r="CS146" s="146"/>
      <c r="CT146" s="146"/>
    </row>
    <row r="147" spans="1:107">
      <c r="AD147" s="146"/>
      <c r="AE147" s="146"/>
      <c r="AF147" s="146"/>
      <c r="AG147" s="146"/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  <c r="CH147" s="146"/>
      <c r="CI147" s="146"/>
      <c r="CJ147" s="146"/>
      <c r="CK147" s="146"/>
      <c r="CL147" s="146"/>
      <c r="CM147" s="146"/>
      <c r="CN147" s="146"/>
      <c r="CO147" s="146"/>
      <c r="CP147" s="146"/>
      <c r="CQ147" s="146"/>
      <c r="CR147" s="146"/>
      <c r="CS147" s="146"/>
      <c r="CT147" s="146"/>
    </row>
    <row r="148" spans="1:107"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  <c r="CH148" s="146"/>
      <c r="CI148" s="146"/>
      <c r="CJ148" s="146"/>
      <c r="CK148" s="146"/>
      <c r="CL148" s="146"/>
      <c r="CM148" s="146"/>
      <c r="CN148" s="146"/>
      <c r="CO148" s="146"/>
      <c r="CP148" s="146"/>
      <c r="CQ148" s="146"/>
      <c r="CR148" s="146"/>
      <c r="CS148" s="146"/>
      <c r="CT148" s="146"/>
    </row>
    <row r="149" spans="1:107">
      <c r="AD149" s="146"/>
      <c r="AE149" s="146"/>
      <c r="AF149" s="146"/>
      <c r="AG149" s="146"/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  <c r="CH149" s="146"/>
      <c r="CI149" s="146"/>
      <c r="CJ149" s="146"/>
      <c r="CK149" s="146"/>
      <c r="CL149" s="146"/>
      <c r="CM149" s="146"/>
      <c r="CN149" s="146"/>
      <c r="CO149" s="146"/>
      <c r="CP149" s="146"/>
      <c r="CQ149" s="146"/>
      <c r="CR149" s="146"/>
      <c r="CS149" s="146"/>
      <c r="CT149" s="146"/>
    </row>
    <row r="150" spans="1:107"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  <c r="CH150" s="146"/>
      <c r="CI150" s="146"/>
      <c r="CJ150" s="146"/>
      <c r="CK150" s="146"/>
      <c r="CL150" s="146"/>
      <c r="CM150" s="146"/>
      <c r="CN150" s="146"/>
      <c r="CO150" s="146"/>
      <c r="CP150" s="146"/>
      <c r="CQ150" s="146"/>
      <c r="CR150" s="146"/>
      <c r="CS150" s="146"/>
      <c r="CT150" s="146"/>
    </row>
    <row r="151" spans="1:107">
      <c r="AD151" s="146"/>
      <c r="AE151" s="146"/>
      <c r="AF151" s="146"/>
      <c r="AG151" s="146"/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  <c r="CH151" s="146"/>
      <c r="CI151" s="146"/>
      <c r="CJ151" s="146"/>
      <c r="CK151" s="146"/>
      <c r="CL151" s="146"/>
      <c r="CM151" s="146"/>
      <c r="CN151" s="146"/>
      <c r="CO151" s="146"/>
      <c r="CP151" s="146"/>
      <c r="CQ151" s="146"/>
      <c r="CR151" s="146"/>
      <c r="CS151" s="146"/>
      <c r="CT151" s="146"/>
    </row>
    <row r="152" spans="1:107">
      <c r="AD152" s="146"/>
      <c r="AE152" s="146"/>
      <c r="AF152" s="146"/>
      <c r="AG152" s="146"/>
      <c r="AH152" s="146"/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  <c r="CH152" s="146"/>
      <c r="CI152" s="146"/>
      <c r="CJ152" s="146"/>
      <c r="CK152" s="146"/>
      <c r="CL152" s="146"/>
      <c r="CM152" s="146"/>
      <c r="CN152" s="146"/>
      <c r="CO152" s="146"/>
      <c r="CP152" s="146"/>
      <c r="CQ152" s="146"/>
      <c r="CR152" s="146"/>
      <c r="CS152" s="146"/>
      <c r="CT152" s="146"/>
    </row>
    <row r="153" spans="1:107">
      <c r="AD153" s="146"/>
      <c r="AE153" s="146"/>
      <c r="AF153" s="146"/>
      <c r="AG153" s="146"/>
      <c r="AH153" s="146"/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  <c r="CH153" s="146"/>
      <c r="CI153" s="146"/>
      <c r="CJ153" s="146"/>
      <c r="CK153" s="146"/>
      <c r="CL153" s="146"/>
      <c r="CM153" s="146"/>
      <c r="CN153" s="146"/>
      <c r="CO153" s="146"/>
      <c r="CP153" s="146"/>
      <c r="CQ153" s="146"/>
      <c r="CR153" s="146"/>
      <c r="CS153" s="146"/>
      <c r="CT153" s="146"/>
    </row>
    <row r="154" spans="1:107"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  <c r="CH154" s="146"/>
      <c r="CI154" s="146"/>
      <c r="CJ154" s="146"/>
      <c r="CK154" s="146"/>
      <c r="CL154" s="146"/>
      <c r="CM154" s="146"/>
      <c r="CN154" s="146"/>
      <c r="CO154" s="146"/>
      <c r="CP154" s="146"/>
      <c r="CQ154" s="146"/>
      <c r="CR154" s="146"/>
      <c r="CS154" s="146"/>
      <c r="CT154" s="146"/>
    </row>
    <row r="155" spans="1:107" s="58" customForma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89"/>
      <c r="BC155" s="89"/>
      <c r="BD155" s="89"/>
      <c r="BE155" s="89"/>
      <c r="BF155" s="89"/>
      <c r="BG155" s="89"/>
      <c r="BH155" s="89"/>
      <c r="BI155" s="89"/>
      <c r="BJ155" s="89"/>
      <c r="BK155" s="89"/>
      <c r="BL155" s="89"/>
      <c r="BM155" s="89"/>
      <c r="BN155" s="89"/>
      <c r="BO155" s="89"/>
      <c r="BP155" s="89"/>
      <c r="BQ155" s="89"/>
      <c r="BR155" s="89"/>
      <c r="BS155" s="89"/>
      <c r="BT155" s="89"/>
      <c r="BU155" s="89"/>
      <c r="BV155" s="89"/>
      <c r="BW155" s="89"/>
      <c r="BX155" s="89"/>
      <c r="BY155" s="89"/>
      <c r="BZ155" s="89"/>
      <c r="CA155" s="89"/>
      <c r="CB155" s="89"/>
      <c r="CC155" s="89"/>
      <c r="CD155" s="89"/>
      <c r="CE155" s="89"/>
      <c r="CF155" s="89"/>
      <c r="CG155" s="89"/>
      <c r="CH155" s="89"/>
      <c r="CI155" s="89"/>
      <c r="CJ155" s="89"/>
      <c r="CK155" s="89"/>
      <c r="CL155" s="89"/>
      <c r="CM155" s="89"/>
      <c r="CN155" s="89"/>
      <c r="CO155" s="89"/>
      <c r="CP155" s="89"/>
      <c r="CQ155" s="89"/>
      <c r="CR155" s="89"/>
      <c r="CS155" s="89"/>
      <c r="CT155" s="89"/>
      <c r="CU155" s="89"/>
      <c r="CV155" s="89"/>
      <c r="CW155" s="89"/>
      <c r="CX155" s="89"/>
      <c r="CY155" s="89"/>
      <c r="CZ155" s="89"/>
      <c r="DA155" s="89"/>
      <c r="DB155" s="89"/>
      <c r="DC155" s="89"/>
    </row>
    <row r="156" spans="1:107" s="58" customForma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89"/>
      <c r="BD156" s="89"/>
      <c r="BE156" s="89"/>
      <c r="BF156" s="89"/>
      <c r="BG156" s="89"/>
      <c r="BH156" s="89"/>
      <c r="BI156" s="89"/>
      <c r="BJ156" s="89"/>
      <c r="BK156" s="89"/>
      <c r="BL156" s="89"/>
      <c r="BM156" s="89"/>
      <c r="BN156" s="89"/>
      <c r="BO156" s="89"/>
      <c r="BP156" s="89"/>
      <c r="BQ156" s="89"/>
      <c r="BR156" s="89"/>
      <c r="BS156" s="89"/>
      <c r="BT156" s="89"/>
      <c r="BU156" s="89"/>
      <c r="BV156" s="89"/>
      <c r="BW156" s="89"/>
      <c r="BX156" s="89"/>
      <c r="BY156" s="89"/>
      <c r="BZ156" s="89"/>
      <c r="CA156" s="89"/>
      <c r="CB156" s="89"/>
      <c r="CC156" s="89"/>
      <c r="CD156" s="89"/>
      <c r="CE156" s="89"/>
      <c r="CF156" s="89"/>
      <c r="CG156" s="89"/>
      <c r="CH156" s="89"/>
      <c r="CI156" s="89"/>
      <c r="CJ156" s="89"/>
      <c r="CK156" s="89"/>
      <c r="CL156" s="89"/>
      <c r="CM156" s="89"/>
      <c r="CN156" s="89"/>
      <c r="CO156" s="89"/>
      <c r="CP156" s="89"/>
      <c r="CQ156" s="89"/>
      <c r="CR156" s="89"/>
      <c r="CS156" s="89"/>
      <c r="CT156" s="89"/>
      <c r="CU156" s="89"/>
      <c r="CV156" s="89"/>
      <c r="CW156" s="89"/>
      <c r="CX156" s="89"/>
      <c r="CY156" s="89"/>
      <c r="CZ156" s="89"/>
      <c r="DA156" s="89"/>
      <c r="DB156" s="89"/>
      <c r="DC156" s="89"/>
    </row>
    <row r="157" spans="1:107" s="58" customForma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89"/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89"/>
      <c r="CQ157" s="89"/>
      <c r="CR157" s="89"/>
      <c r="CS157" s="89"/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</row>
    <row r="158" spans="1:107" s="58" customForma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89"/>
      <c r="BD158" s="89"/>
      <c r="BE158" s="89"/>
      <c r="BF158" s="89"/>
      <c r="BG158" s="89"/>
      <c r="BH158" s="89"/>
      <c r="BI158" s="89"/>
      <c r="BJ158" s="89"/>
      <c r="BK158" s="89"/>
      <c r="BL158" s="89"/>
      <c r="BM158" s="89"/>
      <c r="BN158" s="89"/>
      <c r="BO158" s="89"/>
      <c r="BP158" s="89"/>
      <c r="BQ158" s="89"/>
      <c r="BR158" s="89"/>
      <c r="BS158" s="89"/>
      <c r="BT158" s="89"/>
      <c r="BU158" s="89"/>
      <c r="BV158" s="89"/>
      <c r="BW158" s="89"/>
      <c r="BX158" s="89"/>
      <c r="BY158" s="89"/>
      <c r="BZ158" s="89"/>
      <c r="CA158" s="89"/>
      <c r="CB158" s="89"/>
      <c r="CC158" s="89"/>
      <c r="CD158" s="89"/>
      <c r="CE158" s="89"/>
      <c r="CF158" s="89"/>
      <c r="CG158" s="89"/>
      <c r="CH158" s="89"/>
      <c r="CI158" s="89"/>
      <c r="CJ158" s="89"/>
      <c r="CK158" s="89"/>
      <c r="CL158" s="89"/>
      <c r="CM158" s="89"/>
      <c r="CN158" s="89"/>
      <c r="CO158" s="89"/>
      <c r="CP158" s="89"/>
      <c r="CQ158" s="89"/>
      <c r="CR158" s="89"/>
      <c r="CS158" s="89"/>
      <c r="CT158" s="89"/>
      <c r="CU158" s="89"/>
      <c r="CV158" s="89"/>
      <c r="CW158" s="89"/>
      <c r="CX158" s="89"/>
      <c r="CY158" s="89"/>
      <c r="CZ158" s="89"/>
      <c r="DA158" s="89"/>
      <c r="DB158" s="89"/>
      <c r="DC158" s="89"/>
    </row>
    <row r="159" spans="1:107" s="58" customForma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  <c r="BH159" s="89"/>
      <c r="BI159" s="89"/>
      <c r="BJ159" s="89"/>
      <c r="BK159" s="89"/>
      <c r="BL159" s="89"/>
      <c r="BM159" s="89"/>
      <c r="BN159" s="89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89"/>
      <c r="BZ159" s="89"/>
      <c r="CA159" s="89"/>
      <c r="CB159" s="89"/>
      <c r="CC159" s="89"/>
      <c r="CD159" s="89"/>
      <c r="CE159" s="89"/>
      <c r="CF159" s="89"/>
      <c r="CG159" s="89"/>
      <c r="CH159" s="89"/>
      <c r="CI159" s="89"/>
      <c r="CJ159" s="89"/>
      <c r="CK159" s="89"/>
      <c r="CL159" s="89"/>
      <c r="CM159" s="89"/>
      <c r="CN159" s="89"/>
      <c r="CO159" s="89"/>
      <c r="CP159" s="89"/>
      <c r="CQ159" s="89"/>
      <c r="CR159" s="89"/>
      <c r="CS159" s="89"/>
      <c r="CT159" s="89"/>
      <c r="CU159" s="89"/>
      <c r="CV159" s="89"/>
      <c r="CW159" s="89"/>
      <c r="CX159" s="89"/>
      <c r="CY159" s="89"/>
      <c r="CZ159" s="89"/>
      <c r="DA159" s="89"/>
      <c r="DB159" s="89"/>
      <c r="DC159" s="89"/>
    </row>
    <row r="160" spans="1:107" s="58" customForma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89"/>
      <c r="BC160" s="89"/>
      <c r="BD160" s="89"/>
      <c r="BE160" s="89"/>
      <c r="BF160" s="89"/>
      <c r="BG160" s="89"/>
      <c r="BH160" s="89"/>
      <c r="BI160" s="89"/>
      <c r="BJ160" s="89"/>
      <c r="BK160" s="89"/>
      <c r="BL160" s="89"/>
      <c r="BM160" s="89"/>
      <c r="BN160" s="89"/>
      <c r="BO160" s="89"/>
      <c r="BP160" s="89"/>
      <c r="BQ160" s="89"/>
      <c r="BR160" s="89"/>
      <c r="BS160" s="89"/>
      <c r="BT160" s="89"/>
      <c r="BU160" s="89"/>
      <c r="BV160" s="89"/>
      <c r="BW160" s="89"/>
      <c r="BX160" s="89"/>
      <c r="BY160" s="89"/>
      <c r="BZ160" s="89"/>
      <c r="CA160" s="89"/>
      <c r="CB160" s="89"/>
      <c r="CC160" s="89"/>
      <c r="CD160" s="89"/>
      <c r="CE160" s="89"/>
      <c r="CF160" s="89"/>
      <c r="CG160" s="89"/>
      <c r="CH160" s="89"/>
      <c r="CI160" s="89"/>
      <c r="CJ160" s="89"/>
      <c r="CK160" s="89"/>
      <c r="CL160" s="89"/>
      <c r="CM160" s="89"/>
      <c r="CN160" s="89"/>
      <c r="CO160" s="89"/>
      <c r="CP160" s="89"/>
      <c r="CQ160" s="89"/>
      <c r="CR160" s="89"/>
      <c r="CS160" s="89"/>
      <c r="CT160" s="89"/>
      <c r="CU160" s="89"/>
      <c r="CV160" s="89"/>
      <c r="CW160" s="89"/>
      <c r="CX160" s="89"/>
      <c r="CY160" s="89"/>
      <c r="CZ160" s="89"/>
      <c r="DA160" s="89"/>
      <c r="DB160" s="89"/>
      <c r="DC160" s="89"/>
    </row>
    <row r="161" spans="1:107" s="58" customForma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  <c r="BL161" s="89"/>
      <c r="BM161" s="89"/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  <c r="CE161" s="89"/>
      <c r="CF161" s="89"/>
      <c r="CG161" s="89"/>
      <c r="CH161" s="89"/>
      <c r="CI161" s="89"/>
      <c r="CJ161" s="89"/>
      <c r="CK161" s="89"/>
      <c r="CL161" s="89"/>
      <c r="CM161" s="89"/>
      <c r="CN161" s="89"/>
      <c r="CO161" s="89"/>
      <c r="CP161" s="89"/>
      <c r="CQ161" s="89"/>
      <c r="CR161" s="89"/>
      <c r="CS161" s="89"/>
      <c r="CT161" s="89"/>
      <c r="CU161" s="89"/>
      <c r="CV161" s="89"/>
      <c r="CW161" s="89"/>
      <c r="CX161" s="89"/>
      <c r="CY161" s="89"/>
      <c r="CZ161" s="89"/>
      <c r="DA161" s="89"/>
      <c r="DB161" s="89"/>
      <c r="DC161" s="89"/>
    </row>
    <row r="162" spans="1:107" s="58" customForma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89"/>
      <c r="BD162" s="89"/>
      <c r="BE162" s="89"/>
      <c r="BF162" s="89"/>
      <c r="BG162" s="89"/>
      <c r="BH162" s="89"/>
      <c r="BI162" s="89"/>
      <c r="BJ162" s="89"/>
      <c r="BK162" s="89"/>
      <c r="BL162" s="89"/>
      <c r="BM162" s="89"/>
      <c r="BN162" s="89"/>
      <c r="BO162" s="89"/>
      <c r="BP162" s="89"/>
      <c r="BQ162" s="89"/>
      <c r="BR162" s="89"/>
      <c r="BS162" s="89"/>
      <c r="BT162" s="89"/>
      <c r="BU162" s="89"/>
      <c r="BV162" s="89"/>
      <c r="BW162" s="89"/>
      <c r="BX162" s="89"/>
      <c r="BY162" s="89"/>
      <c r="BZ162" s="89"/>
      <c r="CA162" s="89"/>
      <c r="CB162" s="89"/>
      <c r="CC162" s="89"/>
      <c r="CD162" s="89"/>
      <c r="CE162" s="89"/>
      <c r="CF162" s="89"/>
      <c r="CG162" s="89"/>
      <c r="CH162" s="89"/>
      <c r="CI162" s="89"/>
      <c r="CJ162" s="89"/>
      <c r="CK162" s="89"/>
      <c r="CL162" s="89"/>
      <c r="CM162" s="89"/>
      <c r="CN162" s="89"/>
      <c r="CO162" s="89"/>
      <c r="CP162" s="89"/>
      <c r="CQ162" s="89"/>
      <c r="CR162" s="89"/>
      <c r="CS162" s="89"/>
      <c r="CT162" s="89"/>
      <c r="CU162" s="89"/>
      <c r="CV162" s="89"/>
      <c r="CW162" s="89"/>
      <c r="CX162" s="89"/>
      <c r="CY162" s="89"/>
      <c r="CZ162" s="89"/>
      <c r="DA162" s="89"/>
      <c r="DB162" s="89"/>
      <c r="DC162" s="89"/>
    </row>
    <row r="163" spans="1:107" s="58" customForma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89"/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89"/>
      <c r="CQ163" s="89"/>
      <c r="CR163" s="89"/>
      <c r="CS163" s="89"/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</row>
    <row r="164" spans="1:107" s="58" customForma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  <c r="BF164" s="89"/>
      <c r="BG164" s="89"/>
      <c r="BH164" s="89"/>
      <c r="BI164" s="89"/>
      <c r="BJ164" s="89"/>
      <c r="BK164" s="89"/>
      <c r="BL164" s="89"/>
      <c r="BM164" s="89"/>
      <c r="BN164" s="89"/>
      <c r="BO164" s="89"/>
      <c r="BP164" s="89"/>
      <c r="BQ164" s="89"/>
      <c r="BR164" s="89"/>
      <c r="BS164" s="89"/>
      <c r="BT164" s="89"/>
      <c r="BU164" s="89"/>
      <c r="BV164" s="89"/>
      <c r="BW164" s="89"/>
      <c r="BX164" s="89"/>
      <c r="BY164" s="89"/>
      <c r="BZ164" s="89"/>
      <c r="CA164" s="89"/>
      <c r="CB164" s="89"/>
      <c r="CC164" s="89"/>
      <c r="CD164" s="89"/>
      <c r="CE164" s="89"/>
      <c r="CF164" s="89"/>
      <c r="CG164" s="89"/>
      <c r="CH164" s="89"/>
      <c r="CI164" s="89"/>
      <c r="CJ164" s="89"/>
      <c r="CK164" s="89"/>
      <c r="CL164" s="89"/>
      <c r="CM164" s="89"/>
      <c r="CN164" s="89"/>
      <c r="CO164" s="89"/>
      <c r="CP164" s="89"/>
      <c r="CQ164" s="89"/>
      <c r="CR164" s="89"/>
      <c r="CS164" s="89"/>
      <c r="CT164" s="89"/>
      <c r="CU164" s="89"/>
      <c r="CV164" s="89"/>
      <c r="CW164" s="89"/>
      <c r="CX164" s="89"/>
      <c r="CY164" s="89"/>
      <c r="CZ164" s="89"/>
      <c r="DA164" s="89"/>
      <c r="DB164" s="89"/>
      <c r="DC164" s="89"/>
    </row>
    <row r="165" spans="1:107" s="58" customForma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89"/>
      <c r="BP165" s="89"/>
      <c r="BQ165" s="89"/>
      <c r="BR165" s="89"/>
      <c r="BS165" s="89"/>
      <c r="BT165" s="89"/>
      <c r="BU165" s="89"/>
      <c r="BV165" s="89"/>
      <c r="BW165" s="89"/>
      <c r="BX165" s="89"/>
      <c r="BY165" s="89"/>
      <c r="BZ165" s="89"/>
      <c r="CA165" s="89"/>
      <c r="CB165" s="89"/>
      <c r="CC165" s="89"/>
      <c r="CD165" s="89"/>
      <c r="CE165" s="89"/>
      <c r="CF165" s="89"/>
      <c r="CG165" s="89"/>
      <c r="CH165" s="89"/>
      <c r="CI165" s="89"/>
      <c r="CJ165" s="89"/>
      <c r="CK165" s="89"/>
      <c r="CL165" s="89"/>
      <c r="CM165" s="89"/>
      <c r="CN165" s="89"/>
      <c r="CO165" s="89"/>
      <c r="CP165" s="89"/>
      <c r="CQ165" s="89"/>
      <c r="CR165" s="89"/>
      <c r="CS165" s="89"/>
      <c r="CT165" s="89"/>
      <c r="CU165" s="89"/>
      <c r="CV165" s="89"/>
      <c r="CW165" s="89"/>
      <c r="CX165" s="89"/>
      <c r="CY165" s="89"/>
      <c r="CZ165" s="89"/>
      <c r="DA165" s="89"/>
      <c r="DB165" s="89"/>
      <c r="DC165" s="89"/>
    </row>
    <row r="166" spans="1:107" s="58" customForma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  <c r="BF166" s="89"/>
      <c r="BG166" s="89"/>
      <c r="BH166" s="89"/>
      <c r="BI166" s="89"/>
      <c r="BJ166" s="89"/>
      <c r="BK166" s="89"/>
      <c r="BL166" s="89"/>
      <c r="BM166" s="89"/>
      <c r="BN166" s="89"/>
      <c r="BO166" s="89"/>
      <c r="BP166" s="89"/>
      <c r="BQ166" s="89"/>
      <c r="BR166" s="89"/>
      <c r="BS166" s="89"/>
      <c r="BT166" s="89"/>
      <c r="BU166" s="89"/>
      <c r="BV166" s="89"/>
      <c r="BW166" s="89"/>
      <c r="BX166" s="89"/>
      <c r="BY166" s="89"/>
      <c r="BZ166" s="89"/>
      <c r="CA166" s="89"/>
      <c r="CB166" s="89"/>
      <c r="CC166" s="89"/>
      <c r="CD166" s="89"/>
      <c r="CE166" s="89"/>
      <c r="CF166" s="89"/>
      <c r="CG166" s="89"/>
      <c r="CH166" s="89"/>
      <c r="CI166" s="89"/>
      <c r="CJ166" s="89"/>
      <c r="CK166" s="89"/>
      <c r="CL166" s="89"/>
      <c r="CM166" s="89"/>
      <c r="CN166" s="89"/>
      <c r="CO166" s="89"/>
      <c r="CP166" s="89"/>
      <c r="CQ166" s="89"/>
      <c r="CR166" s="89"/>
      <c r="CS166" s="89"/>
      <c r="CT166" s="89"/>
      <c r="CU166" s="89"/>
      <c r="CV166" s="89"/>
      <c r="CW166" s="89"/>
      <c r="CX166" s="89"/>
      <c r="CY166" s="89"/>
      <c r="CZ166" s="89"/>
      <c r="DA166" s="89"/>
      <c r="DB166" s="89"/>
      <c r="DC166" s="89"/>
    </row>
    <row r="167" spans="1:107" s="58" customForma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  <c r="BF167" s="89"/>
      <c r="BG167" s="89"/>
      <c r="BH167" s="89"/>
      <c r="BI167" s="89"/>
      <c r="BJ167" s="89"/>
      <c r="BK167" s="89"/>
      <c r="BL167" s="89"/>
      <c r="BM167" s="89"/>
      <c r="BN167" s="89"/>
      <c r="BO167" s="89"/>
      <c r="BP167" s="89"/>
      <c r="BQ167" s="89"/>
      <c r="BR167" s="89"/>
      <c r="BS167" s="89"/>
      <c r="BT167" s="89"/>
      <c r="BU167" s="89"/>
      <c r="BV167" s="89"/>
      <c r="BW167" s="89"/>
      <c r="BX167" s="89"/>
      <c r="BY167" s="89"/>
      <c r="BZ167" s="89"/>
      <c r="CA167" s="89"/>
      <c r="CB167" s="89"/>
      <c r="CC167" s="89"/>
      <c r="CD167" s="89"/>
      <c r="CE167" s="89"/>
      <c r="CF167" s="89"/>
      <c r="CG167" s="89"/>
      <c r="CH167" s="89"/>
      <c r="CI167" s="89"/>
      <c r="CJ167" s="89"/>
      <c r="CK167" s="89"/>
      <c r="CL167" s="89"/>
      <c r="CM167" s="89"/>
      <c r="CN167" s="89"/>
      <c r="CO167" s="89"/>
      <c r="CP167" s="89"/>
      <c r="CQ167" s="89"/>
      <c r="CR167" s="89"/>
      <c r="CS167" s="89"/>
      <c r="CT167" s="89"/>
      <c r="CU167" s="89"/>
      <c r="CV167" s="89"/>
      <c r="CW167" s="89"/>
      <c r="CX167" s="89"/>
      <c r="CY167" s="89"/>
      <c r="CZ167" s="89"/>
      <c r="DA167" s="89"/>
      <c r="DB167" s="89"/>
      <c r="DC167" s="89"/>
    </row>
    <row r="168" spans="1:107" s="58" customForma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89"/>
      <c r="BJ168" s="89"/>
      <c r="BK168" s="89"/>
      <c r="BL168" s="89"/>
      <c r="BM168" s="89"/>
      <c r="BN168" s="89"/>
      <c r="BO168" s="89"/>
      <c r="BP168" s="89"/>
      <c r="BQ168" s="89"/>
      <c r="BR168" s="89"/>
      <c r="BS168" s="89"/>
      <c r="BT168" s="89"/>
      <c r="BU168" s="89"/>
      <c r="BV168" s="89"/>
      <c r="BW168" s="89"/>
      <c r="BX168" s="89"/>
      <c r="BY168" s="89"/>
      <c r="BZ168" s="89"/>
      <c r="CA168" s="89"/>
      <c r="CB168" s="89"/>
      <c r="CC168" s="89"/>
      <c r="CD168" s="89"/>
      <c r="CE168" s="89"/>
      <c r="CF168" s="89"/>
      <c r="CG168" s="89"/>
      <c r="CH168" s="89"/>
      <c r="CI168" s="89"/>
      <c r="CJ168" s="89"/>
      <c r="CK168" s="89"/>
      <c r="CL168" s="89"/>
      <c r="CM168" s="89"/>
      <c r="CN168" s="89"/>
      <c r="CO168" s="89"/>
      <c r="CP168" s="89"/>
      <c r="CQ168" s="89"/>
      <c r="CR168" s="89"/>
      <c r="CS168" s="89"/>
      <c r="CT168" s="89"/>
      <c r="CU168" s="89"/>
      <c r="CV168" s="89"/>
      <c r="CW168" s="89"/>
      <c r="CX168" s="89"/>
      <c r="CY168" s="89"/>
      <c r="CZ168" s="89"/>
      <c r="DA168" s="89"/>
      <c r="DB168" s="89"/>
      <c r="DC168" s="89"/>
    </row>
    <row r="169" spans="1:107" s="58" customForma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  <c r="BF169" s="89"/>
      <c r="BG169" s="89"/>
      <c r="BH169" s="89"/>
      <c r="BI169" s="89"/>
      <c r="BJ169" s="89"/>
      <c r="BK169" s="89"/>
      <c r="BL169" s="89"/>
      <c r="BM169" s="89"/>
      <c r="BN169" s="89"/>
      <c r="BO169" s="89"/>
      <c r="BP169" s="89"/>
      <c r="BQ169" s="89"/>
      <c r="BR169" s="89"/>
      <c r="BS169" s="89"/>
      <c r="BT169" s="89"/>
      <c r="BU169" s="89"/>
      <c r="BV169" s="89"/>
      <c r="BW169" s="89"/>
      <c r="BX169" s="89"/>
      <c r="BY169" s="89"/>
      <c r="BZ169" s="89"/>
      <c r="CA169" s="89"/>
      <c r="CB169" s="89"/>
      <c r="CC169" s="89"/>
      <c r="CD169" s="89"/>
      <c r="CE169" s="89"/>
      <c r="CF169" s="89"/>
      <c r="CG169" s="89"/>
      <c r="CH169" s="89"/>
      <c r="CI169" s="89"/>
      <c r="CJ169" s="89"/>
      <c r="CK169" s="89"/>
      <c r="CL169" s="89"/>
      <c r="CM169" s="89"/>
      <c r="CN169" s="89"/>
      <c r="CO169" s="89"/>
      <c r="CP169" s="89"/>
      <c r="CQ169" s="89"/>
      <c r="CR169" s="89"/>
      <c r="CS169" s="89"/>
      <c r="CT169" s="89"/>
      <c r="CU169" s="89"/>
      <c r="CV169" s="89"/>
      <c r="CW169" s="89"/>
      <c r="CX169" s="89"/>
      <c r="CY169" s="89"/>
      <c r="CZ169" s="89"/>
      <c r="DA169" s="89"/>
      <c r="DB169" s="89"/>
      <c r="DC169" s="89"/>
    </row>
    <row r="170" spans="1:107" s="58" customForma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89"/>
      <c r="BH170" s="89"/>
      <c r="BI170" s="89"/>
      <c r="BJ170" s="89"/>
      <c r="BK170" s="89"/>
      <c r="BL170" s="89"/>
      <c r="BM170" s="89"/>
      <c r="BN170" s="89"/>
      <c r="BO170" s="89"/>
      <c r="BP170" s="89"/>
      <c r="BQ170" s="89"/>
      <c r="BR170" s="89"/>
      <c r="BS170" s="89"/>
      <c r="BT170" s="89"/>
      <c r="BU170" s="89"/>
      <c r="BV170" s="89"/>
      <c r="BW170" s="89"/>
      <c r="BX170" s="89"/>
      <c r="BY170" s="89"/>
      <c r="BZ170" s="89"/>
      <c r="CA170" s="89"/>
      <c r="CB170" s="89"/>
      <c r="CC170" s="89"/>
      <c r="CD170" s="89"/>
      <c r="CE170" s="89"/>
      <c r="CF170" s="89"/>
      <c r="CG170" s="89"/>
      <c r="CH170" s="89"/>
      <c r="CI170" s="89"/>
      <c r="CJ170" s="89"/>
      <c r="CK170" s="89"/>
      <c r="CL170" s="89"/>
      <c r="CM170" s="89"/>
      <c r="CN170" s="89"/>
      <c r="CO170" s="89"/>
      <c r="CP170" s="89"/>
      <c r="CQ170" s="89"/>
      <c r="CR170" s="89"/>
      <c r="CS170" s="89"/>
      <c r="CT170" s="89"/>
      <c r="CU170" s="89"/>
      <c r="CV170" s="89"/>
      <c r="CW170" s="89"/>
      <c r="CX170" s="89"/>
      <c r="CY170" s="89"/>
      <c r="CZ170" s="89"/>
      <c r="DA170" s="89"/>
      <c r="DB170" s="89"/>
      <c r="DC170" s="89"/>
    </row>
    <row r="171" spans="1:107" s="58" customForma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89"/>
      <c r="BH171" s="89"/>
      <c r="BI171" s="89"/>
      <c r="BJ171" s="89"/>
      <c r="BK171" s="89"/>
      <c r="BL171" s="89"/>
      <c r="BM171" s="89"/>
      <c r="BN171" s="89"/>
      <c r="BO171" s="89"/>
      <c r="BP171" s="89"/>
      <c r="BQ171" s="89"/>
      <c r="BR171" s="89"/>
      <c r="BS171" s="89"/>
      <c r="BT171" s="89"/>
      <c r="BU171" s="89"/>
      <c r="BV171" s="89"/>
      <c r="BW171" s="89"/>
      <c r="BX171" s="89"/>
      <c r="BY171" s="89"/>
      <c r="BZ171" s="89"/>
      <c r="CA171" s="89"/>
      <c r="CB171" s="89"/>
      <c r="CC171" s="89"/>
      <c r="CD171" s="89"/>
      <c r="CE171" s="89"/>
      <c r="CF171" s="89"/>
      <c r="CG171" s="89"/>
      <c r="CH171" s="89"/>
      <c r="CI171" s="89"/>
      <c r="CJ171" s="89"/>
      <c r="CK171" s="89"/>
      <c r="CL171" s="89"/>
      <c r="CM171" s="89"/>
      <c r="CN171" s="89"/>
      <c r="CO171" s="89"/>
      <c r="CP171" s="89"/>
      <c r="CQ171" s="89"/>
      <c r="CR171" s="89"/>
      <c r="CS171" s="89"/>
      <c r="CT171" s="89"/>
      <c r="CU171" s="89"/>
      <c r="CV171" s="89"/>
      <c r="CW171" s="89"/>
      <c r="CX171" s="89"/>
      <c r="CY171" s="89"/>
      <c r="CZ171" s="89"/>
      <c r="DA171" s="89"/>
      <c r="DB171" s="89"/>
      <c r="DC171" s="89"/>
    </row>
    <row r="172" spans="1:107" s="58" customForma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  <c r="BH172" s="89"/>
      <c r="BI172" s="89"/>
      <c r="BJ172" s="89"/>
      <c r="BK172" s="89"/>
      <c r="BL172" s="89"/>
      <c r="BM172" s="89"/>
      <c r="BN172" s="89"/>
      <c r="BO172" s="89"/>
      <c r="BP172" s="89"/>
      <c r="BQ172" s="89"/>
      <c r="BR172" s="89"/>
      <c r="BS172" s="89"/>
      <c r="BT172" s="89"/>
      <c r="BU172" s="89"/>
      <c r="BV172" s="89"/>
      <c r="BW172" s="89"/>
      <c r="BX172" s="89"/>
      <c r="BY172" s="89"/>
      <c r="BZ172" s="89"/>
      <c r="CA172" s="89"/>
      <c r="CB172" s="89"/>
      <c r="CC172" s="89"/>
      <c r="CD172" s="89"/>
      <c r="CE172" s="89"/>
      <c r="CF172" s="89"/>
      <c r="CG172" s="89"/>
      <c r="CH172" s="89"/>
      <c r="CI172" s="89"/>
      <c r="CJ172" s="89"/>
      <c r="CK172" s="89"/>
      <c r="CL172" s="89"/>
      <c r="CM172" s="89"/>
      <c r="CN172" s="89"/>
      <c r="CO172" s="89"/>
      <c r="CP172" s="89"/>
      <c r="CQ172" s="89"/>
      <c r="CR172" s="89"/>
      <c r="CS172" s="89"/>
      <c r="CT172" s="89"/>
      <c r="CU172" s="89"/>
      <c r="CV172" s="89"/>
      <c r="CW172" s="89"/>
      <c r="CX172" s="89"/>
      <c r="CY172" s="89"/>
      <c r="CZ172" s="89"/>
      <c r="DA172" s="89"/>
      <c r="DB172" s="89"/>
      <c r="DC172" s="89"/>
    </row>
    <row r="173" spans="1:107" s="58" customForma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89"/>
      <c r="BD173" s="89"/>
      <c r="BE173" s="89"/>
      <c r="BF173" s="89"/>
      <c r="BG173" s="89"/>
      <c r="BH173" s="89"/>
      <c r="BI173" s="89"/>
      <c r="BJ173" s="89"/>
      <c r="BK173" s="89"/>
      <c r="BL173" s="89"/>
      <c r="BM173" s="89"/>
      <c r="BN173" s="89"/>
      <c r="BO173" s="89"/>
      <c r="BP173" s="89"/>
      <c r="BQ173" s="89"/>
      <c r="BR173" s="89"/>
      <c r="BS173" s="89"/>
      <c r="BT173" s="89"/>
      <c r="BU173" s="89"/>
      <c r="BV173" s="89"/>
      <c r="BW173" s="89"/>
      <c r="BX173" s="89"/>
      <c r="BY173" s="89"/>
      <c r="BZ173" s="89"/>
      <c r="CA173" s="89"/>
      <c r="CB173" s="89"/>
      <c r="CC173" s="89"/>
      <c r="CD173" s="89"/>
      <c r="CE173" s="89"/>
      <c r="CF173" s="89"/>
      <c r="CG173" s="89"/>
      <c r="CH173" s="89"/>
      <c r="CI173" s="89"/>
      <c r="CJ173" s="89"/>
      <c r="CK173" s="89"/>
      <c r="CL173" s="89"/>
      <c r="CM173" s="89"/>
      <c r="CN173" s="89"/>
      <c r="CO173" s="89"/>
      <c r="CP173" s="89"/>
      <c r="CQ173" s="89"/>
      <c r="CR173" s="89"/>
      <c r="CS173" s="89"/>
      <c r="CT173" s="89"/>
      <c r="CU173" s="89"/>
      <c r="CV173" s="89"/>
      <c r="CW173" s="89"/>
      <c r="CX173" s="89"/>
      <c r="CY173" s="89"/>
      <c r="CZ173" s="89"/>
      <c r="DA173" s="89"/>
      <c r="DB173" s="89"/>
      <c r="DC173" s="89"/>
    </row>
    <row r="174" spans="1:107" s="58" customForma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89"/>
      <c r="BI174" s="89"/>
      <c r="BJ174" s="89"/>
      <c r="BK174" s="89"/>
      <c r="BL174" s="89"/>
      <c r="BM174" s="89"/>
      <c r="BN174" s="89"/>
      <c r="BO174" s="89"/>
      <c r="BP174" s="89"/>
      <c r="BQ174" s="89"/>
      <c r="BR174" s="89"/>
      <c r="BS174" s="89"/>
      <c r="BT174" s="89"/>
      <c r="BU174" s="89"/>
      <c r="BV174" s="89"/>
      <c r="BW174" s="89"/>
      <c r="BX174" s="89"/>
      <c r="BY174" s="89"/>
      <c r="BZ174" s="89"/>
      <c r="CA174" s="89"/>
      <c r="CB174" s="89"/>
      <c r="CC174" s="89"/>
      <c r="CD174" s="89"/>
      <c r="CE174" s="89"/>
      <c r="CF174" s="89"/>
      <c r="CG174" s="89"/>
      <c r="CH174" s="89"/>
      <c r="CI174" s="89"/>
      <c r="CJ174" s="89"/>
      <c r="CK174" s="89"/>
      <c r="CL174" s="89"/>
      <c r="CM174" s="89"/>
      <c r="CN174" s="89"/>
      <c r="CO174" s="89"/>
      <c r="CP174" s="89"/>
      <c r="CQ174" s="89"/>
      <c r="CR174" s="89"/>
      <c r="CS174" s="89"/>
      <c r="CT174" s="89"/>
      <c r="CU174" s="89"/>
      <c r="CV174" s="89"/>
      <c r="CW174" s="89"/>
      <c r="CX174" s="89"/>
      <c r="CY174" s="89"/>
      <c r="CZ174" s="89"/>
      <c r="DA174" s="89"/>
      <c r="DB174" s="89"/>
      <c r="DC174" s="89"/>
    </row>
    <row r="175" spans="1:107" s="58" customForma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  <c r="BH175" s="89"/>
      <c r="BI175" s="89"/>
      <c r="BJ175" s="89"/>
      <c r="BK175" s="89"/>
      <c r="BL175" s="89"/>
      <c r="BM175" s="89"/>
      <c r="BN175" s="89"/>
      <c r="BO175" s="89"/>
      <c r="BP175" s="89"/>
      <c r="BQ175" s="89"/>
      <c r="BR175" s="89"/>
      <c r="BS175" s="89"/>
      <c r="BT175" s="89"/>
      <c r="BU175" s="89"/>
      <c r="BV175" s="89"/>
      <c r="BW175" s="89"/>
      <c r="BX175" s="89"/>
      <c r="BY175" s="89"/>
      <c r="BZ175" s="89"/>
      <c r="CA175" s="89"/>
      <c r="CB175" s="89"/>
      <c r="CC175" s="89"/>
      <c r="CD175" s="89"/>
      <c r="CE175" s="89"/>
      <c r="CF175" s="89"/>
      <c r="CG175" s="89"/>
      <c r="CH175" s="89"/>
      <c r="CI175" s="89"/>
      <c r="CJ175" s="89"/>
      <c r="CK175" s="89"/>
      <c r="CL175" s="89"/>
      <c r="CM175" s="89"/>
      <c r="CN175" s="89"/>
      <c r="CO175" s="89"/>
      <c r="CP175" s="89"/>
      <c r="CQ175" s="89"/>
      <c r="CR175" s="89"/>
      <c r="CS175" s="89"/>
      <c r="CT175" s="89"/>
      <c r="CU175" s="89"/>
      <c r="CV175" s="89"/>
      <c r="CW175" s="89"/>
      <c r="CX175" s="89"/>
      <c r="CY175" s="89"/>
      <c r="CZ175" s="89"/>
      <c r="DA175" s="89"/>
      <c r="DB175" s="89"/>
      <c r="DC175" s="89"/>
    </row>
    <row r="176" spans="1:107" s="58" customForma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  <c r="CG176" s="89"/>
      <c r="CH176" s="89"/>
      <c r="CI176" s="89"/>
      <c r="CJ176" s="89"/>
      <c r="CK176" s="89"/>
      <c r="CL176" s="89"/>
      <c r="CM176" s="89"/>
      <c r="CN176" s="89"/>
      <c r="CO176" s="89"/>
      <c r="CP176" s="89"/>
      <c r="CQ176" s="89"/>
      <c r="CR176" s="89"/>
      <c r="CS176" s="89"/>
      <c r="CT176" s="89"/>
      <c r="CU176" s="89"/>
      <c r="CV176" s="89"/>
      <c r="CW176" s="89"/>
      <c r="CX176" s="89"/>
      <c r="CY176" s="89"/>
      <c r="CZ176" s="89"/>
      <c r="DA176" s="89"/>
      <c r="DB176" s="89"/>
      <c r="DC176" s="89"/>
    </row>
    <row r="177" spans="1:107" s="58" customForma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  <c r="BH177" s="89"/>
      <c r="BI177" s="89"/>
      <c r="BJ177" s="89"/>
      <c r="BK177" s="89"/>
      <c r="BL177" s="89"/>
      <c r="BM177" s="89"/>
      <c r="BN177" s="89"/>
      <c r="BO177" s="89"/>
      <c r="BP177" s="89"/>
      <c r="BQ177" s="89"/>
      <c r="BR177" s="89"/>
      <c r="BS177" s="89"/>
      <c r="BT177" s="89"/>
      <c r="BU177" s="89"/>
      <c r="BV177" s="89"/>
      <c r="BW177" s="89"/>
      <c r="BX177" s="89"/>
      <c r="BY177" s="89"/>
      <c r="BZ177" s="89"/>
      <c r="CA177" s="89"/>
      <c r="CB177" s="89"/>
      <c r="CC177" s="89"/>
      <c r="CD177" s="89"/>
      <c r="CE177" s="89"/>
      <c r="CF177" s="89"/>
      <c r="CG177" s="89"/>
      <c r="CH177" s="89"/>
      <c r="CI177" s="89"/>
      <c r="CJ177" s="89"/>
      <c r="CK177" s="89"/>
      <c r="CL177" s="89"/>
      <c r="CM177" s="89"/>
      <c r="CN177" s="89"/>
      <c r="CO177" s="89"/>
      <c r="CP177" s="89"/>
      <c r="CQ177" s="89"/>
      <c r="CR177" s="89"/>
      <c r="CS177" s="89"/>
      <c r="CT177" s="89"/>
      <c r="CU177" s="89"/>
      <c r="CV177" s="89"/>
      <c r="CW177" s="89"/>
      <c r="CX177" s="89"/>
      <c r="CY177" s="89"/>
      <c r="CZ177" s="89"/>
      <c r="DA177" s="89"/>
      <c r="DB177" s="89"/>
      <c r="DC177" s="89"/>
    </row>
    <row r="178" spans="1:107" s="58" customForma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  <c r="BH178" s="89"/>
      <c r="BI178" s="89"/>
      <c r="BJ178" s="89"/>
      <c r="BK178" s="89"/>
      <c r="BL178" s="89"/>
      <c r="BM178" s="89"/>
      <c r="BN178" s="89"/>
      <c r="BO178" s="89"/>
      <c r="BP178" s="89"/>
      <c r="BQ178" s="89"/>
      <c r="BR178" s="89"/>
      <c r="BS178" s="89"/>
      <c r="BT178" s="89"/>
      <c r="BU178" s="89"/>
      <c r="BV178" s="89"/>
      <c r="BW178" s="89"/>
      <c r="BX178" s="89"/>
      <c r="BY178" s="89"/>
      <c r="BZ178" s="89"/>
      <c r="CA178" s="89"/>
      <c r="CB178" s="89"/>
      <c r="CC178" s="89"/>
      <c r="CD178" s="89"/>
      <c r="CE178" s="89"/>
      <c r="CF178" s="89"/>
      <c r="CG178" s="89"/>
      <c r="CH178" s="89"/>
      <c r="CI178" s="89"/>
      <c r="CJ178" s="89"/>
      <c r="CK178" s="89"/>
      <c r="CL178" s="89"/>
      <c r="CM178" s="89"/>
      <c r="CN178" s="89"/>
      <c r="CO178" s="89"/>
      <c r="CP178" s="89"/>
      <c r="CQ178" s="89"/>
      <c r="CR178" s="89"/>
      <c r="CS178" s="89"/>
      <c r="CT178" s="89"/>
      <c r="CU178" s="89"/>
      <c r="CV178" s="89"/>
      <c r="CW178" s="89"/>
      <c r="CX178" s="89"/>
      <c r="CY178" s="89"/>
      <c r="CZ178" s="89"/>
      <c r="DA178" s="89"/>
      <c r="DB178" s="89"/>
      <c r="DC178" s="89"/>
    </row>
    <row r="179" spans="1:107" s="58" customForma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89"/>
      <c r="AX179" s="89"/>
      <c r="AY179" s="89"/>
      <c r="AZ179" s="89"/>
      <c r="BA179" s="89"/>
      <c r="BB179" s="89"/>
      <c r="BC179" s="89"/>
      <c r="BD179" s="89"/>
      <c r="BE179" s="89"/>
      <c r="BF179" s="89"/>
      <c r="BG179" s="89"/>
      <c r="BH179" s="89"/>
      <c r="BI179" s="89"/>
      <c r="BJ179" s="89"/>
      <c r="BK179" s="89"/>
      <c r="BL179" s="89"/>
      <c r="BM179" s="89"/>
      <c r="BN179" s="89"/>
      <c r="BO179" s="89"/>
      <c r="BP179" s="89"/>
      <c r="BQ179" s="89"/>
      <c r="BR179" s="89"/>
      <c r="BS179" s="89"/>
      <c r="BT179" s="89"/>
      <c r="BU179" s="89"/>
      <c r="BV179" s="89"/>
      <c r="BW179" s="89"/>
      <c r="BX179" s="89"/>
      <c r="BY179" s="89"/>
      <c r="BZ179" s="89"/>
      <c r="CA179" s="89"/>
      <c r="CB179" s="89"/>
      <c r="CC179" s="89"/>
      <c r="CD179" s="89"/>
      <c r="CE179" s="89"/>
      <c r="CF179" s="89"/>
      <c r="CG179" s="89"/>
      <c r="CH179" s="89"/>
      <c r="CI179" s="89"/>
      <c r="CJ179" s="89"/>
      <c r="CK179" s="89"/>
      <c r="CL179" s="89"/>
      <c r="CM179" s="89"/>
      <c r="CN179" s="89"/>
      <c r="CO179" s="89"/>
      <c r="CP179" s="89"/>
      <c r="CQ179" s="89"/>
      <c r="CR179" s="89"/>
      <c r="CS179" s="89"/>
      <c r="CT179" s="89"/>
      <c r="CU179" s="89"/>
      <c r="CV179" s="89"/>
      <c r="CW179" s="89"/>
      <c r="CX179" s="89"/>
      <c r="CY179" s="89"/>
      <c r="CZ179" s="89"/>
      <c r="DA179" s="89"/>
      <c r="DB179" s="89"/>
      <c r="DC179" s="89"/>
    </row>
    <row r="180" spans="1:107" s="58" customForma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  <c r="BF180" s="89"/>
      <c r="BG180" s="89"/>
      <c r="BH180" s="89"/>
      <c r="BI180" s="89"/>
      <c r="BJ180" s="89"/>
      <c r="BK180" s="89"/>
      <c r="BL180" s="89"/>
      <c r="BM180" s="89"/>
      <c r="BN180" s="89"/>
      <c r="BO180" s="89"/>
      <c r="BP180" s="89"/>
      <c r="BQ180" s="89"/>
      <c r="BR180" s="89"/>
      <c r="BS180" s="89"/>
      <c r="BT180" s="89"/>
      <c r="BU180" s="89"/>
      <c r="BV180" s="89"/>
      <c r="BW180" s="89"/>
      <c r="BX180" s="89"/>
      <c r="BY180" s="89"/>
      <c r="BZ180" s="89"/>
      <c r="CA180" s="89"/>
      <c r="CB180" s="89"/>
      <c r="CC180" s="89"/>
      <c r="CD180" s="89"/>
      <c r="CE180" s="89"/>
      <c r="CF180" s="89"/>
      <c r="CG180" s="89"/>
      <c r="CH180" s="89"/>
      <c r="CI180" s="89"/>
      <c r="CJ180" s="89"/>
      <c r="CK180" s="89"/>
      <c r="CL180" s="89"/>
      <c r="CM180" s="89"/>
      <c r="CN180" s="89"/>
      <c r="CO180" s="89"/>
      <c r="CP180" s="89"/>
      <c r="CQ180" s="89"/>
      <c r="CR180" s="89"/>
      <c r="CS180" s="89"/>
      <c r="CT180" s="89"/>
      <c r="CU180" s="89"/>
      <c r="CV180" s="89"/>
      <c r="CW180" s="89"/>
      <c r="CX180" s="89"/>
      <c r="CY180" s="89"/>
      <c r="CZ180" s="89"/>
      <c r="DA180" s="89"/>
      <c r="DB180" s="89"/>
      <c r="DC180" s="89"/>
    </row>
    <row r="181" spans="1:107" s="58" customForma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89"/>
      <c r="BA181" s="89"/>
      <c r="BB181" s="89"/>
      <c r="BC181" s="89"/>
      <c r="BD181" s="89"/>
      <c r="BE181" s="89"/>
      <c r="BF181" s="89"/>
      <c r="BG181" s="89"/>
      <c r="BH181" s="89"/>
      <c r="BI181" s="89"/>
      <c r="BJ181" s="89"/>
      <c r="BK181" s="89"/>
      <c r="BL181" s="89"/>
      <c r="BM181" s="89"/>
      <c r="BN181" s="89"/>
      <c r="BO181" s="89"/>
      <c r="BP181" s="89"/>
      <c r="BQ181" s="89"/>
      <c r="BR181" s="89"/>
      <c r="BS181" s="89"/>
      <c r="BT181" s="89"/>
      <c r="BU181" s="89"/>
      <c r="BV181" s="89"/>
      <c r="BW181" s="89"/>
      <c r="BX181" s="89"/>
      <c r="BY181" s="89"/>
      <c r="BZ181" s="89"/>
      <c r="CA181" s="89"/>
      <c r="CB181" s="89"/>
      <c r="CC181" s="89"/>
      <c r="CD181" s="89"/>
      <c r="CE181" s="89"/>
      <c r="CF181" s="89"/>
      <c r="CG181" s="89"/>
      <c r="CH181" s="89"/>
      <c r="CI181" s="89"/>
      <c r="CJ181" s="89"/>
      <c r="CK181" s="89"/>
      <c r="CL181" s="89"/>
      <c r="CM181" s="89"/>
      <c r="CN181" s="89"/>
      <c r="CO181" s="89"/>
      <c r="CP181" s="89"/>
      <c r="CQ181" s="89"/>
      <c r="CR181" s="89"/>
      <c r="CS181" s="89"/>
      <c r="CT181" s="89"/>
      <c r="CU181" s="89"/>
      <c r="CV181" s="89"/>
      <c r="CW181" s="89"/>
      <c r="CX181" s="89"/>
      <c r="CY181" s="89"/>
      <c r="CZ181" s="89"/>
      <c r="DA181" s="89"/>
      <c r="DB181" s="89"/>
      <c r="DC181" s="89"/>
    </row>
    <row r="182" spans="1:107" s="58" customForma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  <c r="CG182" s="89"/>
      <c r="CH182" s="89"/>
      <c r="CI182" s="89"/>
      <c r="CJ182" s="89"/>
      <c r="CK182" s="89"/>
      <c r="CL182" s="89"/>
      <c r="CM182" s="89"/>
      <c r="CN182" s="89"/>
      <c r="CO182" s="89"/>
      <c r="CP182" s="89"/>
      <c r="CQ182" s="89"/>
      <c r="CR182" s="89"/>
      <c r="CS182" s="89"/>
      <c r="CT182" s="89"/>
      <c r="CU182" s="89"/>
      <c r="CV182" s="89"/>
      <c r="CW182" s="89"/>
      <c r="CX182" s="89"/>
      <c r="CY182" s="89"/>
      <c r="CZ182" s="89"/>
      <c r="DA182" s="89"/>
      <c r="DB182" s="89"/>
      <c r="DC182" s="89"/>
    </row>
    <row r="183" spans="1:107" s="58" customForma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9"/>
      <c r="BC183" s="89"/>
      <c r="BD183" s="89"/>
      <c r="BE183" s="89"/>
      <c r="BF183" s="89"/>
      <c r="BG183" s="89"/>
      <c r="BH183" s="89"/>
      <c r="BI183" s="89"/>
      <c r="BJ183" s="89"/>
      <c r="BK183" s="89"/>
      <c r="BL183" s="89"/>
      <c r="BM183" s="89"/>
      <c r="BN183" s="89"/>
      <c r="BO183" s="89"/>
      <c r="BP183" s="89"/>
      <c r="BQ183" s="89"/>
      <c r="BR183" s="89"/>
      <c r="BS183" s="89"/>
      <c r="BT183" s="89"/>
      <c r="BU183" s="89"/>
      <c r="BV183" s="89"/>
      <c r="BW183" s="89"/>
      <c r="BX183" s="89"/>
      <c r="BY183" s="89"/>
      <c r="BZ183" s="89"/>
      <c r="CA183" s="89"/>
      <c r="CB183" s="89"/>
      <c r="CC183" s="89"/>
      <c r="CD183" s="89"/>
      <c r="CE183" s="89"/>
      <c r="CF183" s="89"/>
      <c r="CG183" s="89"/>
      <c r="CH183" s="89"/>
      <c r="CI183" s="89"/>
      <c r="CJ183" s="89"/>
      <c r="CK183" s="89"/>
      <c r="CL183" s="89"/>
      <c r="CM183" s="89"/>
      <c r="CN183" s="89"/>
      <c r="CO183" s="89"/>
      <c r="CP183" s="89"/>
      <c r="CQ183" s="89"/>
      <c r="CR183" s="89"/>
      <c r="CS183" s="89"/>
      <c r="CT183" s="89"/>
      <c r="CU183" s="89"/>
      <c r="CV183" s="89"/>
      <c r="CW183" s="89"/>
      <c r="CX183" s="89"/>
      <c r="CY183" s="89"/>
      <c r="CZ183" s="89"/>
      <c r="DA183" s="89"/>
      <c r="DB183" s="89"/>
      <c r="DC183" s="89"/>
    </row>
    <row r="184" spans="1:107" s="58" customForma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  <c r="BH184" s="89"/>
      <c r="BI184" s="89"/>
      <c r="BJ184" s="89"/>
      <c r="BK184" s="89"/>
      <c r="BL184" s="89"/>
      <c r="BM184" s="89"/>
      <c r="BN184" s="89"/>
      <c r="BO184" s="89"/>
      <c r="BP184" s="89"/>
      <c r="BQ184" s="89"/>
      <c r="BR184" s="89"/>
      <c r="BS184" s="89"/>
      <c r="BT184" s="89"/>
      <c r="BU184" s="89"/>
      <c r="BV184" s="89"/>
      <c r="BW184" s="89"/>
      <c r="BX184" s="89"/>
      <c r="BY184" s="89"/>
      <c r="BZ184" s="89"/>
      <c r="CA184" s="89"/>
      <c r="CB184" s="89"/>
      <c r="CC184" s="89"/>
      <c r="CD184" s="89"/>
      <c r="CE184" s="89"/>
      <c r="CF184" s="89"/>
      <c r="CG184" s="89"/>
      <c r="CH184" s="89"/>
      <c r="CI184" s="89"/>
      <c r="CJ184" s="89"/>
      <c r="CK184" s="89"/>
      <c r="CL184" s="89"/>
      <c r="CM184" s="89"/>
      <c r="CN184" s="89"/>
      <c r="CO184" s="89"/>
      <c r="CP184" s="89"/>
      <c r="CQ184" s="89"/>
      <c r="CR184" s="89"/>
      <c r="CS184" s="89"/>
      <c r="CT184" s="89"/>
      <c r="CU184" s="89"/>
      <c r="CV184" s="89"/>
      <c r="CW184" s="89"/>
      <c r="CX184" s="89"/>
      <c r="CY184" s="89"/>
      <c r="CZ184" s="89"/>
      <c r="DA184" s="89"/>
      <c r="DB184" s="89"/>
      <c r="DC184" s="89"/>
    </row>
    <row r="185" spans="1:107" s="58" customForma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89"/>
      <c r="AX185" s="89"/>
      <c r="AY185" s="89"/>
      <c r="AZ185" s="89"/>
      <c r="BA185" s="89"/>
      <c r="BB185" s="89"/>
      <c r="BC185" s="89"/>
      <c r="BD185" s="89"/>
      <c r="BE185" s="89"/>
      <c r="BF185" s="89"/>
      <c r="BG185" s="89"/>
      <c r="BH185" s="89"/>
      <c r="BI185" s="89"/>
      <c r="BJ185" s="89"/>
      <c r="BK185" s="89"/>
      <c r="BL185" s="89"/>
      <c r="BM185" s="89"/>
      <c r="BN185" s="89"/>
      <c r="BO185" s="89"/>
      <c r="BP185" s="89"/>
      <c r="BQ185" s="89"/>
      <c r="BR185" s="89"/>
      <c r="BS185" s="89"/>
      <c r="BT185" s="89"/>
      <c r="BU185" s="89"/>
      <c r="BV185" s="89"/>
      <c r="BW185" s="89"/>
      <c r="BX185" s="89"/>
      <c r="BY185" s="89"/>
      <c r="BZ185" s="89"/>
      <c r="CA185" s="89"/>
      <c r="CB185" s="89"/>
      <c r="CC185" s="89"/>
      <c r="CD185" s="89"/>
      <c r="CE185" s="89"/>
      <c r="CF185" s="89"/>
      <c r="CG185" s="89"/>
      <c r="CH185" s="89"/>
      <c r="CI185" s="89"/>
      <c r="CJ185" s="89"/>
      <c r="CK185" s="89"/>
      <c r="CL185" s="89"/>
      <c r="CM185" s="89"/>
      <c r="CN185" s="89"/>
      <c r="CO185" s="89"/>
      <c r="CP185" s="89"/>
      <c r="CQ185" s="89"/>
      <c r="CR185" s="89"/>
      <c r="CS185" s="89"/>
      <c r="CT185" s="89"/>
      <c r="CU185" s="89"/>
      <c r="CV185" s="89"/>
      <c r="CW185" s="89"/>
      <c r="CX185" s="89"/>
      <c r="CY185" s="89"/>
      <c r="CZ185" s="89"/>
      <c r="DA185" s="89"/>
      <c r="DB185" s="89"/>
      <c r="DC185" s="89"/>
    </row>
    <row r="186" spans="1:107" s="58" customForma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89"/>
      <c r="CO186" s="89"/>
      <c r="CP186" s="89"/>
      <c r="CQ186" s="89"/>
      <c r="CR186" s="89"/>
      <c r="CS186" s="89"/>
      <c r="CT186" s="89"/>
      <c r="CU186" s="89"/>
      <c r="CV186" s="89"/>
      <c r="CW186" s="89"/>
      <c r="CX186" s="89"/>
      <c r="CY186" s="89"/>
      <c r="CZ186" s="89"/>
      <c r="DA186" s="89"/>
      <c r="DB186" s="89"/>
      <c r="DC186" s="89"/>
    </row>
    <row r="187" spans="1:107" s="58" customForma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89"/>
      <c r="BP187" s="89"/>
      <c r="BQ187" s="89"/>
      <c r="BR187" s="89"/>
      <c r="BS187" s="89"/>
      <c r="BT187" s="89"/>
      <c r="BU187" s="89"/>
      <c r="BV187" s="89"/>
      <c r="BW187" s="89"/>
      <c r="BX187" s="89"/>
      <c r="BY187" s="89"/>
      <c r="BZ187" s="89"/>
      <c r="CA187" s="89"/>
      <c r="CB187" s="89"/>
      <c r="CC187" s="89"/>
      <c r="CD187" s="89"/>
      <c r="CE187" s="89"/>
      <c r="CF187" s="89"/>
      <c r="CG187" s="89"/>
      <c r="CH187" s="89"/>
      <c r="CI187" s="89"/>
      <c r="CJ187" s="89"/>
      <c r="CK187" s="89"/>
      <c r="CL187" s="89"/>
      <c r="CM187" s="89"/>
      <c r="CN187" s="89"/>
      <c r="CO187" s="89"/>
      <c r="CP187" s="89"/>
      <c r="CQ187" s="89"/>
      <c r="CR187" s="89"/>
      <c r="CS187" s="89"/>
      <c r="CT187" s="89"/>
      <c r="CU187" s="89"/>
      <c r="CV187" s="89"/>
      <c r="CW187" s="89"/>
      <c r="CX187" s="89"/>
      <c r="CY187" s="89"/>
      <c r="CZ187" s="89"/>
      <c r="DA187" s="89"/>
      <c r="DB187" s="89"/>
      <c r="DC187" s="89"/>
    </row>
    <row r="188" spans="1:107" s="58" customForma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89"/>
      <c r="BP188" s="89"/>
      <c r="BQ188" s="89"/>
      <c r="BR188" s="89"/>
      <c r="BS188" s="89"/>
      <c r="BT188" s="89"/>
      <c r="BU188" s="89"/>
      <c r="BV188" s="89"/>
      <c r="BW188" s="89"/>
      <c r="BX188" s="89"/>
      <c r="BY188" s="89"/>
      <c r="BZ188" s="89"/>
      <c r="CA188" s="89"/>
      <c r="CB188" s="89"/>
      <c r="CC188" s="89"/>
      <c r="CD188" s="89"/>
      <c r="CE188" s="89"/>
      <c r="CF188" s="89"/>
      <c r="CG188" s="89"/>
      <c r="CH188" s="89"/>
      <c r="CI188" s="89"/>
      <c r="CJ188" s="89"/>
      <c r="CK188" s="89"/>
      <c r="CL188" s="89"/>
      <c r="CM188" s="89"/>
      <c r="CN188" s="89"/>
      <c r="CO188" s="89"/>
      <c r="CP188" s="89"/>
      <c r="CQ188" s="89"/>
      <c r="CR188" s="89"/>
      <c r="CS188" s="89"/>
      <c r="CT188" s="89"/>
      <c r="CU188" s="89"/>
      <c r="CV188" s="89"/>
      <c r="CW188" s="89"/>
      <c r="CX188" s="89"/>
      <c r="CY188" s="89"/>
      <c r="CZ188" s="89"/>
      <c r="DA188" s="89"/>
      <c r="DB188" s="89"/>
      <c r="DC188" s="89"/>
    </row>
    <row r="189" spans="1:107" s="58" customForma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  <c r="BH189" s="89"/>
      <c r="BI189" s="89"/>
      <c r="BJ189" s="89"/>
      <c r="BK189" s="89"/>
      <c r="BL189" s="89"/>
      <c r="BM189" s="89"/>
      <c r="BN189" s="89"/>
      <c r="BO189" s="89"/>
      <c r="BP189" s="89"/>
      <c r="BQ189" s="89"/>
      <c r="BR189" s="89"/>
      <c r="BS189" s="89"/>
      <c r="BT189" s="89"/>
      <c r="BU189" s="89"/>
      <c r="BV189" s="89"/>
      <c r="BW189" s="89"/>
      <c r="BX189" s="89"/>
      <c r="BY189" s="89"/>
      <c r="BZ189" s="89"/>
      <c r="CA189" s="89"/>
      <c r="CB189" s="89"/>
      <c r="CC189" s="89"/>
      <c r="CD189" s="89"/>
      <c r="CE189" s="89"/>
      <c r="CF189" s="89"/>
      <c r="CG189" s="89"/>
      <c r="CH189" s="89"/>
      <c r="CI189" s="89"/>
      <c r="CJ189" s="89"/>
      <c r="CK189" s="89"/>
      <c r="CL189" s="89"/>
      <c r="CM189" s="89"/>
      <c r="CN189" s="89"/>
      <c r="CO189" s="89"/>
      <c r="CP189" s="89"/>
      <c r="CQ189" s="89"/>
      <c r="CR189" s="89"/>
      <c r="CS189" s="89"/>
      <c r="CT189" s="89"/>
      <c r="CU189" s="89"/>
      <c r="CV189" s="89"/>
      <c r="CW189" s="89"/>
      <c r="CX189" s="89"/>
      <c r="CY189" s="89"/>
      <c r="CZ189" s="89"/>
      <c r="DA189" s="89"/>
      <c r="DB189" s="89"/>
      <c r="DC189" s="89"/>
    </row>
    <row r="190" spans="1:107" s="58" customForma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89"/>
      <c r="BP190" s="89"/>
      <c r="BQ190" s="89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89"/>
      <c r="CD190" s="89"/>
      <c r="CE190" s="89"/>
      <c r="CF190" s="89"/>
      <c r="CG190" s="89"/>
      <c r="CH190" s="89"/>
      <c r="CI190" s="89"/>
      <c r="CJ190" s="89"/>
      <c r="CK190" s="89"/>
      <c r="CL190" s="89"/>
      <c r="CM190" s="89"/>
      <c r="CN190" s="89"/>
      <c r="CO190" s="89"/>
      <c r="CP190" s="89"/>
      <c r="CQ190" s="89"/>
      <c r="CR190" s="89"/>
      <c r="CS190" s="89"/>
      <c r="CT190" s="89"/>
      <c r="CU190" s="89"/>
      <c r="CV190" s="89"/>
      <c r="CW190" s="89"/>
      <c r="CX190" s="89"/>
      <c r="CY190" s="89"/>
      <c r="CZ190" s="89"/>
      <c r="DA190" s="89"/>
      <c r="DB190" s="89"/>
      <c r="DC190" s="89"/>
    </row>
    <row r="191" spans="1:107" s="58" customForma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89"/>
      <c r="BP191" s="89"/>
      <c r="BQ191" s="89"/>
      <c r="BR191" s="89"/>
      <c r="BS191" s="89"/>
      <c r="BT191" s="89"/>
      <c r="BU191" s="89"/>
      <c r="BV191" s="89"/>
      <c r="BW191" s="89"/>
      <c r="BX191" s="89"/>
      <c r="BY191" s="89"/>
      <c r="BZ191" s="89"/>
      <c r="CA191" s="89"/>
      <c r="CB191" s="89"/>
      <c r="CC191" s="89"/>
      <c r="CD191" s="89"/>
      <c r="CE191" s="89"/>
      <c r="CF191" s="89"/>
      <c r="CG191" s="89"/>
      <c r="CH191" s="89"/>
      <c r="CI191" s="89"/>
      <c r="CJ191" s="89"/>
      <c r="CK191" s="89"/>
      <c r="CL191" s="89"/>
      <c r="CM191" s="89"/>
      <c r="CN191" s="89"/>
      <c r="CO191" s="89"/>
      <c r="CP191" s="89"/>
      <c r="CQ191" s="89"/>
      <c r="CR191" s="89"/>
      <c r="CS191" s="89"/>
      <c r="CT191" s="89"/>
      <c r="CU191" s="89"/>
      <c r="CV191" s="89"/>
      <c r="CW191" s="89"/>
      <c r="CX191" s="89"/>
      <c r="CY191" s="89"/>
      <c r="CZ191" s="89"/>
      <c r="DA191" s="89"/>
      <c r="DB191" s="89"/>
      <c r="DC191" s="89"/>
    </row>
    <row r="192" spans="1:107" s="58" customForma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9"/>
      <c r="CJ192" s="89"/>
      <c r="CK192" s="89"/>
      <c r="CL192" s="89"/>
      <c r="CM192" s="89"/>
      <c r="CN192" s="89"/>
      <c r="CO192" s="89"/>
      <c r="CP192" s="89"/>
      <c r="CQ192" s="89"/>
      <c r="CR192" s="89"/>
      <c r="CS192" s="89"/>
      <c r="CT192" s="89"/>
      <c r="CU192" s="89"/>
      <c r="CV192" s="89"/>
      <c r="CW192" s="89"/>
      <c r="CX192" s="89"/>
      <c r="CY192" s="89"/>
      <c r="CZ192" s="89"/>
      <c r="DA192" s="89"/>
      <c r="DB192" s="89"/>
      <c r="DC192" s="89"/>
    </row>
    <row r="193" spans="1:107" s="58" customForma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</row>
    <row r="194" spans="1:107" s="58" customForma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89"/>
      <c r="CT194" s="89"/>
      <c r="CU194" s="89"/>
      <c r="CV194" s="89"/>
      <c r="CW194" s="89"/>
      <c r="CX194" s="89"/>
      <c r="CY194" s="89"/>
      <c r="CZ194" s="89"/>
      <c r="DA194" s="89"/>
      <c r="DB194" s="89"/>
      <c r="DC194" s="89"/>
    </row>
    <row r="195" spans="1:107" s="58" customForma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89"/>
      <c r="BD195" s="89"/>
      <c r="BE195" s="89"/>
      <c r="BF195" s="89"/>
      <c r="BG195" s="89"/>
      <c r="BH195" s="89"/>
      <c r="BI195" s="89"/>
      <c r="BJ195" s="89"/>
      <c r="BK195" s="89"/>
      <c r="BL195" s="89"/>
      <c r="BM195" s="89"/>
      <c r="BN195" s="89"/>
      <c r="BO195" s="89"/>
      <c r="BP195" s="89"/>
      <c r="BQ195" s="89"/>
      <c r="BR195" s="89"/>
      <c r="BS195" s="89"/>
      <c r="BT195" s="89"/>
      <c r="BU195" s="89"/>
      <c r="BV195" s="89"/>
      <c r="BW195" s="89"/>
      <c r="BX195" s="89"/>
      <c r="BY195" s="89"/>
      <c r="BZ195" s="89"/>
      <c r="CA195" s="89"/>
      <c r="CB195" s="89"/>
      <c r="CC195" s="89"/>
      <c r="CD195" s="89"/>
      <c r="CE195" s="89"/>
      <c r="CF195" s="89"/>
      <c r="CG195" s="89"/>
      <c r="CH195" s="89"/>
      <c r="CI195" s="89"/>
      <c r="CJ195" s="89"/>
      <c r="CK195" s="89"/>
      <c r="CL195" s="89"/>
      <c r="CM195" s="89"/>
      <c r="CN195" s="89"/>
      <c r="CO195" s="89"/>
      <c r="CP195" s="89"/>
      <c r="CQ195" s="89"/>
      <c r="CR195" s="89"/>
      <c r="CS195" s="89"/>
      <c r="CT195" s="89"/>
      <c r="CU195" s="89"/>
      <c r="CV195" s="89"/>
      <c r="CW195" s="89"/>
      <c r="CX195" s="89"/>
      <c r="CY195" s="89"/>
      <c r="CZ195" s="89"/>
      <c r="DA195" s="89"/>
      <c r="DB195" s="89"/>
      <c r="DC195" s="89"/>
    </row>
    <row r="196" spans="1:107" s="58" customForma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89"/>
      <c r="CU196" s="89"/>
      <c r="CV196" s="89"/>
      <c r="CW196" s="89"/>
      <c r="CX196" s="89"/>
      <c r="CY196" s="89"/>
      <c r="CZ196" s="89"/>
      <c r="DA196" s="89"/>
      <c r="DB196" s="89"/>
      <c r="DC196" s="89"/>
    </row>
    <row r="197" spans="1:107" s="58" customForma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  <c r="BF197" s="89"/>
      <c r="BG197" s="89"/>
      <c r="BH197" s="89"/>
      <c r="BI197" s="89"/>
      <c r="BJ197" s="89"/>
      <c r="BK197" s="89"/>
      <c r="BL197" s="89"/>
      <c r="BM197" s="89"/>
      <c r="BN197" s="89"/>
      <c r="BO197" s="89"/>
      <c r="BP197" s="89"/>
      <c r="BQ197" s="89"/>
      <c r="BR197" s="89"/>
      <c r="BS197" s="89"/>
      <c r="BT197" s="89"/>
      <c r="BU197" s="89"/>
      <c r="BV197" s="89"/>
      <c r="BW197" s="89"/>
      <c r="BX197" s="89"/>
      <c r="BY197" s="89"/>
      <c r="BZ197" s="89"/>
      <c r="CA197" s="89"/>
      <c r="CB197" s="89"/>
      <c r="CC197" s="89"/>
      <c r="CD197" s="89"/>
      <c r="CE197" s="89"/>
      <c r="CF197" s="89"/>
      <c r="CG197" s="89"/>
      <c r="CH197" s="89"/>
      <c r="CI197" s="89"/>
      <c r="CJ197" s="89"/>
      <c r="CK197" s="89"/>
      <c r="CL197" s="89"/>
      <c r="CM197" s="89"/>
      <c r="CN197" s="89"/>
      <c r="CO197" s="89"/>
      <c r="CP197" s="89"/>
      <c r="CQ197" s="89"/>
      <c r="CR197" s="89"/>
      <c r="CS197" s="89"/>
      <c r="CT197" s="89"/>
      <c r="CU197" s="89"/>
      <c r="CV197" s="89"/>
      <c r="CW197" s="89"/>
      <c r="CX197" s="89"/>
      <c r="CY197" s="89"/>
      <c r="CZ197" s="89"/>
      <c r="DA197" s="89"/>
      <c r="DB197" s="89"/>
      <c r="DC197" s="89"/>
    </row>
    <row r="198" spans="1:107" s="58" customForma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89"/>
      <c r="BD198" s="89"/>
      <c r="BE198" s="89"/>
      <c r="BF198" s="89"/>
      <c r="BG198" s="89"/>
      <c r="BH198" s="89"/>
      <c r="BI198" s="89"/>
      <c r="BJ198" s="89"/>
      <c r="BK198" s="89"/>
      <c r="BL198" s="89"/>
      <c r="BM198" s="89"/>
      <c r="BN198" s="89"/>
      <c r="BO198" s="89"/>
      <c r="BP198" s="89"/>
      <c r="BQ198" s="89"/>
      <c r="BR198" s="89"/>
      <c r="BS198" s="89"/>
      <c r="BT198" s="89"/>
      <c r="BU198" s="89"/>
      <c r="BV198" s="89"/>
      <c r="BW198" s="89"/>
      <c r="BX198" s="89"/>
      <c r="BY198" s="89"/>
      <c r="BZ198" s="89"/>
      <c r="CA198" s="89"/>
      <c r="CB198" s="89"/>
      <c r="CC198" s="89"/>
      <c r="CD198" s="89"/>
      <c r="CE198" s="89"/>
      <c r="CF198" s="89"/>
      <c r="CG198" s="89"/>
      <c r="CH198" s="89"/>
      <c r="CI198" s="89"/>
      <c r="CJ198" s="89"/>
      <c r="CK198" s="89"/>
      <c r="CL198" s="89"/>
      <c r="CM198" s="89"/>
      <c r="CN198" s="89"/>
      <c r="CO198" s="89"/>
      <c r="CP198" s="89"/>
      <c r="CQ198" s="89"/>
      <c r="CR198" s="89"/>
      <c r="CS198" s="89"/>
      <c r="CT198" s="89"/>
      <c r="CU198" s="89"/>
      <c r="CV198" s="89"/>
      <c r="CW198" s="89"/>
      <c r="CX198" s="89"/>
      <c r="CY198" s="89"/>
      <c r="CZ198" s="89"/>
      <c r="DA198" s="89"/>
      <c r="DB198" s="89"/>
      <c r="DC198" s="89"/>
    </row>
    <row r="199" spans="1:107" s="58" customForma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89"/>
      <c r="BD199" s="89"/>
      <c r="BE199" s="89"/>
      <c r="BF199" s="89"/>
      <c r="BG199" s="89"/>
      <c r="BH199" s="89"/>
      <c r="BI199" s="89"/>
      <c r="BJ199" s="89"/>
      <c r="BK199" s="89"/>
      <c r="BL199" s="89"/>
      <c r="BM199" s="89"/>
      <c r="BN199" s="89"/>
      <c r="BO199" s="89"/>
      <c r="BP199" s="89"/>
      <c r="BQ199" s="89"/>
      <c r="BR199" s="89"/>
      <c r="BS199" s="89"/>
      <c r="BT199" s="89"/>
      <c r="BU199" s="89"/>
      <c r="BV199" s="89"/>
      <c r="BW199" s="89"/>
      <c r="BX199" s="89"/>
      <c r="BY199" s="89"/>
      <c r="BZ199" s="89"/>
      <c r="CA199" s="89"/>
      <c r="CB199" s="89"/>
      <c r="CC199" s="89"/>
      <c r="CD199" s="89"/>
      <c r="CE199" s="89"/>
      <c r="CF199" s="89"/>
      <c r="CG199" s="89"/>
      <c r="CH199" s="89"/>
      <c r="CI199" s="89"/>
      <c r="CJ199" s="89"/>
      <c r="CK199" s="89"/>
      <c r="CL199" s="89"/>
      <c r="CM199" s="89"/>
      <c r="CN199" s="89"/>
      <c r="CO199" s="89"/>
      <c r="CP199" s="89"/>
      <c r="CQ199" s="89"/>
      <c r="CR199" s="89"/>
      <c r="CS199" s="89"/>
      <c r="CT199" s="89"/>
      <c r="CU199" s="89"/>
      <c r="CV199" s="89"/>
      <c r="CW199" s="89"/>
      <c r="CX199" s="89"/>
      <c r="CY199" s="89"/>
      <c r="CZ199" s="89"/>
      <c r="DA199" s="89"/>
      <c r="DB199" s="89"/>
      <c r="DC199" s="89"/>
    </row>
    <row r="200" spans="1:107" s="58" customForma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89"/>
      <c r="BD200" s="89"/>
      <c r="BE200" s="89"/>
      <c r="BF200" s="89"/>
      <c r="BG200" s="89"/>
      <c r="BH200" s="89"/>
      <c r="BI200" s="89"/>
      <c r="BJ200" s="89"/>
      <c r="BK200" s="89"/>
      <c r="BL200" s="89"/>
      <c r="BM200" s="89"/>
      <c r="BN200" s="89"/>
      <c r="BO200" s="89"/>
      <c r="BP200" s="89"/>
      <c r="BQ200" s="89"/>
      <c r="BR200" s="89"/>
      <c r="BS200" s="89"/>
      <c r="BT200" s="89"/>
      <c r="BU200" s="89"/>
      <c r="BV200" s="89"/>
      <c r="BW200" s="89"/>
      <c r="BX200" s="89"/>
      <c r="BY200" s="89"/>
      <c r="BZ200" s="89"/>
      <c r="CA200" s="89"/>
      <c r="CB200" s="89"/>
      <c r="CC200" s="89"/>
      <c r="CD200" s="89"/>
      <c r="CE200" s="89"/>
      <c r="CF200" s="89"/>
      <c r="CG200" s="89"/>
      <c r="CH200" s="89"/>
      <c r="CI200" s="89"/>
      <c r="CJ200" s="89"/>
      <c r="CK200" s="89"/>
      <c r="CL200" s="89"/>
      <c r="CM200" s="89"/>
      <c r="CN200" s="89"/>
      <c r="CO200" s="89"/>
      <c r="CP200" s="89"/>
      <c r="CQ200" s="89"/>
      <c r="CR200" s="89"/>
      <c r="CS200" s="89"/>
      <c r="CT200" s="89"/>
      <c r="CU200" s="89"/>
      <c r="CV200" s="89"/>
      <c r="CW200" s="89"/>
      <c r="CX200" s="89"/>
      <c r="CY200" s="89"/>
      <c r="CZ200" s="89"/>
      <c r="DA200" s="89"/>
      <c r="DB200" s="89"/>
      <c r="DC200" s="89"/>
    </row>
    <row r="201" spans="1:107" s="58" customForma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89"/>
      <c r="BD201" s="89"/>
      <c r="BE201" s="89"/>
      <c r="BF201" s="89"/>
      <c r="BG201" s="89"/>
      <c r="BH201" s="89"/>
      <c r="BI201" s="89"/>
      <c r="BJ201" s="89"/>
      <c r="BK201" s="89"/>
      <c r="BL201" s="89"/>
      <c r="BM201" s="89"/>
      <c r="BN201" s="89"/>
      <c r="BO201" s="89"/>
      <c r="BP201" s="89"/>
      <c r="BQ201" s="89"/>
      <c r="BR201" s="89"/>
      <c r="BS201" s="89"/>
      <c r="BT201" s="89"/>
      <c r="BU201" s="89"/>
      <c r="BV201" s="89"/>
      <c r="BW201" s="89"/>
      <c r="BX201" s="89"/>
      <c r="BY201" s="89"/>
      <c r="BZ201" s="89"/>
      <c r="CA201" s="89"/>
      <c r="CB201" s="89"/>
      <c r="CC201" s="89"/>
      <c r="CD201" s="89"/>
      <c r="CE201" s="89"/>
      <c r="CF201" s="89"/>
      <c r="CG201" s="89"/>
      <c r="CH201" s="89"/>
      <c r="CI201" s="89"/>
      <c r="CJ201" s="89"/>
      <c r="CK201" s="89"/>
      <c r="CL201" s="89"/>
      <c r="CM201" s="89"/>
      <c r="CN201" s="89"/>
      <c r="CO201" s="89"/>
      <c r="CP201" s="89"/>
      <c r="CQ201" s="89"/>
      <c r="CR201" s="89"/>
      <c r="CS201" s="89"/>
      <c r="CT201" s="89"/>
      <c r="CU201" s="89"/>
      <c r="CV201" s="89"/>
      <c r="CW201" s="89"/>
      <c r="CX201" s="89"/>
      <c r="CY201" s="89"/>
      <c r="CZ201" s="89"/>
      <c r="DA201" s="89"/>
      <c r="DB201" s="89"/>
      <c r="DC201" s="89"/>
    </row>
  </sheetData>
  <phoneticPr fontId="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842"/>
  <sheetViews>
    <sheetView zoomScale="125" workbookViewId="0">
      <selection activeCell="A2" sqref="A2"/>
    </sheetView>
  </sheetViews>
  <sheetFormatPr baseColWidth="10" defaultColWidth="8.83203125" defaultRowHeight="13"/>
  <cols>
    <col min="1" max="1" width="30.5" customWidth="1"/>
    <col min="2" max="8" width="14.1640625" customWidth="1"/>
    <col min="9" max="12" width="15.6640625" customWidth="1"/>
    <col min="13" max="13" width="11.1640625" bestFit="1" customWidth="1"/>
  </cols>
  <sheetData>
    <row r="1" spans="1:7" ht="15">
      <c r="A1" s="234" t="s">
        <v>168</v>
      </c>
    </row>
    <row r="2" spans="1:7" ht="15">
      <c r="A2" s="234"/>
    </row>
    <row r="3" spans="1:7">
      <c r="A3" s="272" t="s">
        <v>169</v>
      </c>
      <c r="B3" s="272" t="s">
        <v>233</v>
      </c>
      <c r="D3" s="272" t="s">
        <v>353</v>
      </c>
      <c r="F3" s="272" t="s">
        <v>354</v>
      </c>
      <c r="G3" s="272" t="s">
        <v>29</v>
      </c>
    </row>
    <row r="4" spans="1:7">
      <c r="A4" s="272" t="s">
        <v>355</v>
      </c>
      <c r="B4" s="272" t="s">
        <v>420</v>
      </c>
      <c r="D4" s="272" t="s">
        <v>573</v>
      </c>
      <c r="F4" s="272" t="s">
        <v>571</v>
      </c>
      <c r="G4" s="272" t="s">
        <v>30</v>
      </c>
    </row>
    <row r="5" spans="1:7">
      <c r="A5" s="272" t="s">
        <v>557</v>
      </c>
      <c r="B5" s="272" t="s">
        <v>558</v>
      </c>
      <c r="D5" s="272" t="s">
        <v>570</v>
      </c>
      <c r="F5" s="272" t="s">
        <v>572</v>
      </c>
      <c r="G5" s="272" t="s">
        <v>436</v>
      </c>
    </row>
    <row r="6" spans="1:7">
      <c r="A6" s="272" t="s">
        <v>498</v>
      </c>
      <c r="B6" s="272" t="s">
        <v>501</v>
      </c>
      <c r="D6" s="272" t="s">
        <v>560</v>
      </c>
      <c r="F6" s="272" t="s">
        <v>75</v>
      </c>
      <c r="G6" s="272" t="s">
        <v>76</v>
      </c>
    </row>
    <row r="7" spans="1:7">
      <c r="A7" s="272"/>
      <c r="B7" s="272"/>
      <c r="D7" s="272" t="s">
        <v>559</v>
      </c>
      <c r="F7" s="272" t="s">
        <v>140</v>
      </c>
      <c r="G7" s="272"/>
    </row>
    <row r="8" spans="1:7">
      <c r="A8" s="272"/>
      <c r="B8" s="272"/>
      <c r="D8" s="272"/>
      <c r="F8" s="272"/>
      <c r="G8" s="272"/>
    </row>
    <row r="10" spans="1:7">
      <c r="A10" s="229" t="s">
        <v>129</v>
      </c>
      <c r="B10" s="111" t="s">
        <v>213</v>
      </c>
      <c r="C10" s="111"/>
      <c r="D10" s="111" t="s">
        <v>214</v>
      </c>
      <c r="E10" s="111"/>
      <c r="F10" s="111"/>
    </row>
    <row r="11" spans="1:7">
      <c r="A11" s="229" t="s">
        <v>130</v>
      </c>
      <c r="B11" s="111">
        <v>2255000</v>
      </c>
      <c r="C11" s="111"/>
      <c r="D11" s="111"/>
      <c r="E11" s="111"/>
      <c r="F11" s="111"/>
    </row>
    <row r="12" spans="1:7">
      <c r="A12" s="230" t="s">
        <v>74</v>
      </c>
      <c r="B12" s="254">
        <v>33418</v>
      </c>
      <c r="C12" s="254">
        <v>33784</v>
      </c>
      <c r="D12" s="254">
        <v>34149</v>
      </c>
      <c r="E12" s="254">
        <v>34514</v>
      </c>
      <c r="F12" s="254">
        <v>34879</v>
      </c>
    </row>
    <row r="13" spans="1:7">
      <c r="A13" s="231" t="s">
        <v>54</v>
      </c>
      <c r="B13" s="111">
        <v>394290</v>
      </c>
      <c r="C13" s="111">
        <v>1094000</v>
      </c>
      <c r="D13" s="111">
        <v>2197000</v>
      </c>
      <c r="E13" s="111">
        <v>3091000</v>
      </c>
      <c r="F13" s="111">
        <v>4777000</v>
      </c>
    </row>
    <row r="14" spans="1:7">
      <c r="A14" s="231" t="s">
        <v>55</v>
      </c>
      <c r="B14" s="111">
        <v>-229724</v>
      </c>
      <c r="C14" s="111">
        <v>-654000</v>
      </c>
      <c r="D14" s="111">
        <v>-1770000</v>
      </c>
      <c r="E14" s="111">
        <v>-2434000</v>
      </c>
      <c r="F14" s="111">
        <v>-3465000</v>
      </c>
    </row>
    <row r="15" spans="1:7">
      <c r="A15" s="231" t="s">
        <v>56</v>
      </c>
      <c r="B15" s="111">
        <v>-64598</v>
      </c>
      <c r="C15" s="111">
        <v>-75000</v>
      </c>
      <c r="D15" s="111">
        <v>-204000</v>
      </c>
      <c r="E15" s="111">
        <v>-333000</v>
      </c>
      <c r="F15" s="111">
        <v>-286000</v>
      </c>
    </row>
    <row r="16" spans="1:7">
      <c r="A16" s="231" t="s">
        <v>174</v>
      </c>
      <c r="B16" s="111">
        <v>-119764</v>
      </c>
      <c r="C16" s="111">
        <v>-293000</v>
      </c>
      <c r="D16" s="111">
        <v>-605000</v>
      </c>
      <c r="E16" s="111">
        <v>-328000</v>
      </c>
      <c r="F16" s="111">
        <v>-408000</v>
      </c>
    </row>
    <row r="17" spans="1:13">
      <c r="A17" s="231" t="s">
        <v>175</v>
      </c>
      <c r="B17" s="111">
        <v>-1653</v>
      </c>
      <c r="C17" s="111">
        <v>-7000</v>
      </c>
      <c r="D17" s="111">
        <v>-6000</v>
      </c>
      <c r="E17" s="111">
        <v>-24000</v>
      </c>
      <c r="F17" s="111">
        <v>-65000</v>
      </c>
    </row>
    <row r="18" spans="1:13">
      <c r="A18" s="231" t="s">
        <v>176</v>
      </c>
      <c r="B18" s="111">
        <v>0</v>
      </c>
      <c r="C18" s="111">
        <v>0</v>
      </c>
      <c r="D18" s="111">
        <v>0</v>
      </c>
      <c r="E18" s="111">
        <v>0</v>
      </c>
      <c r="F18" s="111">
        <v>0</v>
      </c>
    </row>
    <row r="19" spans="1:13">
      <c r="A19" s="231" t="s">
        <v>177</v>
      </c>
      <c r="B19" s="111">
        <v>867</v>
      </c>
      <c r="C19" s="111">
        <v>-3000</v>
      </c>
      <c r="D19" s="111">
        <v>-87000</v>
      </c>
      <c r="E19" s="111">
        <v>-62000</v>
      </c>
      <c r="F19" s="111">
        <v>543000</v>
      </c>
    </row>
    <row r="20" spans="1:13">
      <c r="A20" s="231" t="s">
        <v>162</v>
      </c>
      <c r="B20" s="111">
        <v>-15169</v>
      </c>
      <c r="C20" s="111">
        <v>-32000</v>
      </c>
      <c r="D20" s="111">
        <v>-10000</v>
      </c>
      <c r="E20" s="111">
        <v>16000</v>
      </c>
      <c r="F20" s="111">
        <v>-334000</v>
      </c>
    </row>
    <row r="21" spans="1:13">
      <c r="A21" s="231" t="s">
        <v>163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</row>
    <row r="22" spans="1:13">
      <c r="A22" s="231" t="s">
        <v>367</v>
      </c>
      <c r="B22" s="111">
        <v>0</v>
      </c>
      <c r="C22" s="111">
        <v>0</v>
      </c>
      <c r="D22" s="111">
        <v>0</v>
      </c>
      <c r="E22" s="111">
        <v>0</v>
      </c>
      <c r="F22" s="111">
        <v>0</v>
      </c>
    </row>
    <row r="23" spans="1:13">
      <c r="A23" s="231" t="s">
        <v>39</v>
      </c>
      <c r="B23" s="111">
        <v>0</v>
      </c>
      <c r="C23" s="111">
        <v>0</v>
      </c>
      <c r="D23" s="111">
        <v>0</v>
      </c>
      <c r="E23" s="111">
        <v>0</v>
      </c>
      <c r="F23" s="111">
        <v>0</v>
      </c>
    </row>
    <row r="24" spans="1:13">
      <c r="A24" s="231" t="s">
        <v>141</v>
      </c>
      <c r="B24" s="111">
        <v>0</v>
      </c>
      <c r="C24" s="111">
        <v>0</v>
      </c>
      <c r="D24" s="111">
        <v>0</v>
      </c>
      <c r="E24" s="111">
        <v>0</v>
      </c>
      <c r="F24" s="111">
        <v>0</v>
      </c>
    </row>
    <row r="25" spans="1:13">
      <c r="A25" s="231" t="s">
        <v>179</v>
      </c>
      <c r="B25" s="111">
        <v>64549</v>
      </c>
      <c r="C25" s="111">
        <v>129133</v>
      </c>
      <c r="D25" s="111">
        <v>124000</v>
      </c>
      <c r="E25" s="111">
        <v>823000</v>
      </c>
      <c r="F25" s="111">
        <v>1424000</v>
      </c>
    </row>
    <row r="26" spans="1:13">
      <c r="A26" s="231" t="s">
        <v>20</v>
      </c>
      <c r="B26" s="111">
        <v>32176</v>
      </c>
      <c r="C26" s="111">
        <v>42939</v>
      </c>
      <c r="D26" s="111">
        <v>65000</v>
      </c>
      <c r="E26" s="111">
        <v>192000</v>
      </c>
      <c r="F26" s="111">
        <v>323000</v>
      </c>
    </row>
    <row r="27" spans="1:13">
      <c r="A27" s="231" t="s">
        <v>21</v>
      </c>
      <c r="B27" s="111">
        <v>0</v>
      </c>
      <c r="C27" s="111">
        <v>0</v>
      </c>
      <c r="D27" s="111">
        <v>0</v>
      </c>
      <c r="E27" s="111">
        <v>0</v>
      </c>
      <c r="F27" s="111">
        <v>0</v>
      </c>
    </row>
    <row r="28" spans="1:13">
      <c r="A28" s="231" t="s">
        <v>285</v>
      </c>
      <c r="B28" s="111">
        <v>36908</v>
      </c>
      <c r="C28" s="111">
        <v>98506</v>
      </c>
      <c r="D28" s="111">
        <v>134000</v>
      </c>
      <c r="E28" s="111">
        <v>248000</v>
      </c>
      <c r="F28" s="111">
        <v>232000</v>
      </c>
    </row>
    <row r="29" spans="1:13">
      <c r="A29" s="231" t="s">
        <v>286</v>
      </c>
      <c r="B29" s="111">
        <v>70919</v>
      </c>
      <c r="C29" s="111">
        <v>101277</v>
      </c>
      <c r="D29" s="111">
        <v>233000</v>
      </c>
      <c r="E29" s="111">
        <v>503000</v>
      </c>
      <c r="F29" s="111">
        <v>657000</v>
      </c>
    </row>
    <row r="30" spans="1:13">
      <c r="A30" s="231" t="s">
        <v>289</v>
      </c>
      <c r="B30" s="111">
        <v>0</v>
      </c>
      <c r="C30" s="111">
        <v>0</v>
      </c>
      <c r="D30" s="111">
        <v>81000</v>
      </c>
      <c r="E30" s="111">
        <v>531000</v>
      </c>
      <c r="F30" s="111">
        <v>2151000</v>
      </c>
    </row>
    <row r="31" spans="1:13">
      <c r="A31" s="231" t="s">
        <v>290</v>
      </c>
      <c r="B31" s="111">
        <v>59935</v>
      </c>
      <c r="C31" s="111">
        <v>56638</v>
      </c>
      <c r="D31" s="111">
        <v>59000</v>
      </c>
      <c r="E31" s="111">
        <v>472000</v>
      </c>
      <c r="F31" s="111">
        <v>454000</v>
      </c>
    </row>
    <row r="32" spans="1:13">
      <c r="A32" s="231" t="s">
        <v>291</v>
      </c>
      <c r="B32" s="111">
        <v>140926</v>
      </c>
      <c r="C32" s="111">
        <v>530261</v>
      </c>
      <c r="D32" s="111">
        <v>137000</v>
      </c>
      <c r="E32" s="111">
        <v>105000</v>
      </c>
      <c r="F32" s="111">
        <v>107000</v>
      </c>
      <c r="M32" s="4"/>
    </row>
    <row r="33" spans="1:13">
      <c r="A33" s="231" t="s">
        <v>292</v>
      </c>
      <c r="B33" s="111">
        <v>2329</v>
      </c>
      <c r="C33" s="111">
        <v>2435</v>
      </c>
      <c r="D33" s="111">
        <v>0</v>
      </c>
      <c r="E33" s="111">
        <v>0</v>
      </c>
      <c r="F33" s="111">
        <v>0</v>
      </c>
    </row>
    <row r="34" spans="1:13">
      <c r="A34" s="231" t="s">
        <v>293</v>
      </c>
      <c r="B34" s="111">
        <v>84640</v>
      </c>
      <c r="C34" s="111">
        <v>105904</v>
      </c>
      <c r="D34" s="111">
        <v>68000</v>
      </c>
      <c r="E34" s="111">
        <v>120000</v>
      </c>
      <c r="F34" s="111">
        <v>74000</v>
      </c>
    </row>
    <row r="35" spans="1:13">
      <c r="A35" s="231" t="s">
        <v>84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</row>
    <row r="36" spans="1:13">
      <c r="A36" s="231" t="s">
        <v>184</v>
      </c>
      <c r="B36" s="111">
        <v>46393</v>
      </c>
      <c r="C36" s="111">
        <v>181567</v>
      </c>
      <c r="D36" s="111">
        <v>485000</v>
      </c>
      <c r="E36" s="111">
        <v>1035000</v>
      </c>
      <c r="F36" s="111">
        <v>1651000</v>
      </c>
    </row>
    <row r="37" spans="1:13">
      <c r="A37" s="231" t="s">
        <v>185</v>
      </c>
      <c r="B37" s="111">
        <v>17369</v>
      </c>
      <c r="C37" s="111">
        <v>19306</v>
      </c>
      <c r="D37" s="111">
        <v>50000</v>
      </c>
      <c r="E37" s="111">
        <v>372000</v>
      </c>
      <c r="F37" s="111">
        <v>348000</v>
      </c>
    </row>
    <row r="38" spans="1:13">
      <c r="A38" s="231" t="s">
        <v>85</v>
      </c>
      <c r="B38" s="111">
        <v>2243</v>
      </c>
      <c r="C38" s="111">
        <v>1168</v>
      </c>
      <c r="D38" s="111">
        <v>4000</v>
      </c>
      <c r="E38" s="111">
        <v>7000</v>
      </c>
      <c r="F38" s="111">
        <v>15000</v>
      </c>
    </row>
    <row r="39" spans="1:13">
      <c r="A39" s="231" t="s">
        <v>0</v>
      </c>
      <c r="B39" s="111">
        <v>35627</v>
      </c>
      <c r="C39" s="111">
        <v>135872</v>
      </c>
      <c r="D39" s="111">
        <v>86000</v>
      </c>
      <c r="E39" s="111">
        <v>344000</v>
      </c>
      <c r="F39" s="111">
        <v>227000</v>
      </c>
    </row>
    <row r="40" spans="1:13">
      <c r="A40" s="231" t="s">
        <v>18</v>
      </c>
      <c r="B40" s="111">
        <v>0</v>
      </c>
      <c r="C40" s="111">
        <v>0</v>
      </c>
      <c r="D40" s="111">
        <v>0</v>
      </c>
      <c r="E40" s="111">
        <v>0</v>
      </c>
      <c r="F40" s="111">
        <v>0</v>
      </c>
    </row>
    <row r="41" spans="1:13">
      <c r="A41" s="231" t="s">
        <v>19</v>
      </c>
      <c r="B41" s="111">
        <v>0</v>
      </c>
      <c r="C41" s="111">
        <v>1</v>
      </c>
      <c r="D41" s="111">
        <v>0</v>
      </c>
      <c r="E41" s="111">
        <v>0</v>
      </c>
      <c r="F41" s="111">
        <v>0</v>
      </c>
    </row>
    <row r="42" spans="1:13">
      <c r="A42" s="231" t="s">
        <v>37</v>
      </c>
      <c r="B42" s="111">
        <v>253435</v>
      </c>
      <c r="C42" s="111">
        <v>520268</v>
      </c>
      <c r="D42" s="111">
        <v>647000</v>
      </c>
      <c r="E42" s="111">
        <v>1586000</v>
      </c>
      <c r="F42" s="111">
        <v>2882000</v>
      </c>
    </row>
    <row r="43" spans="1:13">
      <c r="A43" s="231" t="s">
        <v>296</v>
      </c>
      <c r="B43" s="111">
        <v>-36623</v>
      </c>
      <c r="C43" s="111">
        <v>-7767</v>
      </c>
      <c r="D43" s="111">
        <v>-507000</v>
      </c>
      <c r="E43" s="111">
        <v>-590000</v>
      </c>
      <c r="F43" s="111">
        <v>151000</v>
      </c>
      <c r="M43" s="4"/>
    </row>
    <row r="44" spans="1:13">
      <c r="A44" s="233" t="s">
        <v>139</v>
      </c>
      <c r="B44" s="111"/>
      <c r="C44" s="111">
        <v>0</v>
      </c>
      <c r="D44" s="111">
        <v>0</v>
      </c>
      <c r="E44" s="111">
        <v>0</v>
      </c>
      <c r="F44" s="111">
        <v>0</v>
      </c>
    </row>
    <row r="48" spans="1:13">
      <c r="A48" s="229" t="s">
        <v>297</v>
      </c>
      <c r="B48" s="111" t="s">
        <v>298</v>
      </c>
      <c r="C48" s="111"/>
      <c r="D48" s="111" t="s">
        <v>299</v>
      </c>
      <c r="E48" s="111"/>
      <c r="F48" s="111"/>
      <c r="G48" s="11" t="s">
        <v>435</v>
      </c>
    </row>
    <row r="49" spans="1:6">
      <c r="A49" s="229" t="s">
        <v>132</v>
      </c>
      <c r="B49" s="111">
        <v>357140</v>
      </c>
      <c r="C49" s="111"/>
      <c r="D49" s="111"/>
      <c r="E49" s="111"/>
      <c r="F49" s="111"/>
    </row>
    <row r="50" spans="1:6">
      <c r="A50" s="230" t="s">
        <v>74</v>
      </c>
      <c r="B50" s="254">
        <v>33968</v>
      </c>
      <c r="C50" s="254">
        <v>34333</v>
      </c>
      <c r="D50" s="254">
        <v>34698</v>
      </c>
      <c r="E50" s="254">
        <v>35063</v>
      </c>
      <c r="F50" s="254">
        <v>35429</v>
      </c>
    </row>
    <row r="51" spans="1:6">
      <c r="A51" s="231" t="s">
        <v>303</v>
      </c>
      <c r="B51" s="111">
        <v>15746</v>
      </c>
      <c r="C51" s="111">
        <v>147787</v>
      </c>
      <c r="D51" s="111">
        <v>609819</v>
      </c>
      <c r="E51" s="111">
        <v>1639839</v>
      </c>
      <c r="F51" s="111">
        <v>2761983</v>
      </c>
    </row>
    <row r="52" spans="1:6">
      <c r="A52" s="231" t="s">
        <v>283</v>
      </c>
      <c r="B52" s="111">
        <v>-12287</v>
      </c>
      <c r="C52" s="111">
        <v>-118969</v>
      </c>
      <c r="D52" s="111">
        <v>-476155</v>
      </c>
      <c r="E52" s="111">
        <v>-1349194</v>
      </c>
      <c r="F52" s="111">
        <v>-2106206</v>
      </c>
    </row>
    <row r="53" spans="1:6">
      <c r="A53" s="231" t="s">
        <v>284</v>
      </c>
      <c r="B53" s="111">
        <v>-2401</v>
      </c>
      <c r="C53" s="111">
        <v>0</v>
      </c>
      <c r="D53" s="111">
        <v>0</v>
      </c>
      <c r="E53" s="111">
        <v>0</v>
      </c>
      <c r="F53" s="111">
        <v>0</v>
      </c>
    </row>
    <row r="54" spans="1:6">
      <c r="A54" s="231" t="s">
        <v>408</v>
      </c>
      <c r="B54" s="111">
        <v>-7501</v>
      </c>
      <c r="C54" s="111">
        <v>-60202</v>
      </c>
      <c r="D54" s="111">
        <v>-194696</v>
      </c>
      <c r="E54" s="111">
        <v>-643016</v>
      </c>
      <c r="F54" s="111">
        <v>-972777</v>
      </c>
    </row>
    <row r="55" spans="1:6">
      <c r="A55" s="231" t="s">
        <v>242</v>
      </c>
      <c r="B55" s="111">
        <v>0</v>
      </c>
      <c r="C55" s="111">
        <v>0</v>
      </c>
      <c r="D55" s="111">
        <v>-42599</v>
      </c>
      <c r="E55" s="111">
        <v>-214694</v>
      </c>
      <c r="F55" s="111">
        <v>-321772</v>
      </c>
    </row>
    <row r="56" spans="1:6">
      <c r="A56" s="231" t="s">
        <v>483</v>
      </c>
      <c r="B56" s="111">
        <v>-5</v>
      </c>
      <c r="C56" s="111">
        <v>-326</v>
      </c>
      <c r="D56" s="111">
        <v>-26639</v>
      </c>
      <c r="E56" s="111">
        <v>-84566</v>
      </c>
      <c r="F56" s="111">
        <v>-130921</v>
      </c>
    </row>
    <row r="57" spans="1:6">
      <c r="A57" s="231" t="s">
        <v>484</v>
      </c>
      <c r="B57" s="111">
        <v>202</v>
      </c>
      <c r="C57" s="111">
        <v>690</v>
      </c>
      <c r="D57" s="111">
        <v>8629</v>
      </c>
      <c r="E57" s="111">
        <v>8432</v>
      </c>
      <c r="F57" s="111">
        <v>-336984</v>
      </c>
    </row>
    <row r="58" spans="1:6">
      <c r="A58" s="231" t="s">
        <v>485</v>
      </c>
      <c r="B58" s="111">
        <v>0</v>
      </c>
      <c r="C58" s="111">
        <v>0</v>
      </c>
      <c r="D58" s="111">
        <v>0</v>
      </c>
      <c r="E58" s="111">
        <v>0</v>
      </c>
      <c r="F58" s="111">
        <v>0</v>
      </c>
    </row>
    <row r="59" spans="1:6">
      <c r="A59" s="231" t="s">
        <v>486</v>
      </c>
      <c r="B59" s="111">
        <v>0</v>
      </c>
      <c r="C59" s="111">
        <v>0</v>
      </c>
      <c r="D59" s="111">
        <v>0</v>
      </c>
      <c r="E59" s="111">
        <v>0</v>
      </c>
      <c r="F59" s="111">
        <v>0</v>
      </c>
    </row>
    <row r="60" spans="1:6">
      <c r="A60" s="231" t="s">
        <v>367</v>
      </c>
      <c r="B60" s="111">
        <v>0</v>
      </c>
      <c r="C60" s="111">
        <v>0</v>
      </c>
      <c r="D60" s="111">
        <v>-2905</v>
      </c>
      <c r="E60" s="111">
        <v>-76769</v>
      </c>
      <c r="F60" s="111">
        <v>-304596</v>
      </c>
    </row>
    <row r="61" spans="1:6">
      <c r="A61" s="231" t="s">
        <v>39</v>
      </c>
      <c r="B61" s="111">
        <v>0</v>
      </c>
      <c r="C61" s="111">
        <v>0</v>
      </c>
      <c r="D61" s="111">
        <v>0</v>
      </c>
      <c r="E61" s="111">
        <v>0</v>
      </c>
      <c r="F61" s="111">
        <v>0</v>
      </c>
    </row>
    <row r="62" spans="1:6">
      <c r="A62" s="231" t="s">
        <v>141</v>
      </c>
      <c r="B62" s="111">
        <v>0</v>
      </c>
      <c r="C62" s="111">
        <v>0</v>
      </c>
      <c r="D62" s="111">
        <v>0</v>
      </c>
      <c r="E62" s="111">
        <v>0</v>
      </c>
      <c r="F62" s="111">
        <v>0</v>
      </c>
    </row>
    <row r="63" spans="1:6">
      <c r="A63" s="231" t="s">
        <v>179</v>
      </c>
      <c r="B63" s="111">
        <v>6248</v>
      </c>
      <c r="C63" s="111">
        <v>125375</v>
      </c>
      <c r="D63" s="111">
        <v>373445</v>
      </c>
      <c r="E63" s="111">
        <v>706188</v>
      </c>
      <c r="F63" s="111">
        <v>1100522</v>
      </c>
    </row>
    <row r="64" spans="1:6">
      <c r="A64" s="231" t="s">
        <v>20</v>
      </c>
      <c r="B64" s="111">
        <v>0</v>
      </c>
      <c r="C64" s="111">
        <v>0</v>
      </c>
      <c r="D64" s="111">
        <v>0</v>
      </c>
      <c r="E64" s="111">
        <v>0</v>
      </c>
      <c r="F64" s="111">
        <v>0</v>
      </c>
    </row>
    <row r="65" spans="1:6">
      <c r="A65" s="231" t="s">
        <v>21</v>
      </c>
      <c r="B65" s="111">
        <v>571</v>
      </c>
      <c r="C65" s="111">
        <v>8971</v>
      </c>
      <c r="D65" s="111">
        <v>29501</v>
      </c>
      <c r="E65" s="111">
        <v>220646</v>
      </c>
      <c r="F65" s="111">
        <v>174563</v>
      </c>
    </row>
    <row r="66" spans="1:6">
      <c r="A66" s="231" t="s">
        <v>285</v>
      </c>
      <c r="B66" s="111">
        <v>321</v>
      </c>
      <c r="C66" s="111">
        <v>3363</v>
      </c>
      <c r="D66" s="111">
        <v>21308</v>
      </c>
      <c r="E66" s="111">
        <v>79643</v>
      </c>
      <c r="F66" s="111">
        <v>86044</v>
      </c>
    </row>
    <row r="67" spans="1:6">
      <c r="A67" s="231" t="s">
        <v>286</v>
      </c>
      <c r="B67" s="111">
        <v>985</v>
      </c>
      <c r="C67" s="111">
        <v>9726</v>
      </c>
      <c r="D67" s="111">
        <v>29791</v>
      </c>
      <c r="E67" s="111">
        <v>317613</v>
      </c>
      <c r="F67" s="111">
        <v>366416</v>
      </c>
    </row>
    <row r="68" spans="1:6">
      <c r="A68" s="231" t="s">
        <v>289</v>
      </c>
      <c r="B68" s="111">
        <v>0</v>
      </c>
      <c r="C68" s="111">
        <v>0</v>
      </c>
      <c r="D68" s="111">
        <v>7740</v>
      </c>
      <c r="E68" s="111">
        <v>371462</v>
      </c>
      <c r="F68" s="111">
        <v>92250</v>
      </c>
    </row>
    <row r="69" spans="1:6">
      <c r="A69" s="231" t="s">
        <v>290</v>
      </c>
      <c r="B69" s="111">
        <v>0</v>
      </c>
      <c r="C69" s="111">
        <v>0</v>
      </c>
      <c r="D69" s="111">
        <v>178638</v>
      </c>
      <c r="E69" s="111">
        <v>730144</v>
      </c>
      <c r="F69" s="111">
        <v>255325</v>
      </c>
    </row>
    <row r="70" spans="1:6">
      <c r="A70" s="231" t="s">
        <v>291</v>
      </c>
      <c r="B70" s="111">
        <v>146</v>
      </c>
      <c r="C70" s="111">
        <v>2409</v>
      </c>
      <c r="D70" s="111">
        <v>8037</v>
      </c>
      <c r="E70" s="111">
        <v>40154</v>
      </c>
      <c r="F70" s="111">
        <v>60049</v>
      </c>
    </row>
    <row r="71" spans="1:6">
      <c r="A71" s="231" t="s">
        <v>292</v>
      </c>
      <c r="B71" s="111">
        <v>0</v>
      </c>
      <c r="C71" s="111">
        <v>1500</v>
      </c>
      <c r="D71" s="111">
        <v>808</v>
      </c>
      <c r="E71" s="111">
        <v>14322</v>
      </c>
      <c r="F71" s="111">
        <v>16577</v>
      </c>
    </row>
    <row r="72" spans="1:6">
      <c r="A72" s="231" t="s">
        <v>293</v>
      </c>
      <c r="B72" s="111">
        <v>2852</v>
      </c>
      <c r="C72" s="111">
        <v>33027</v>
      </c>
      <c r="D72" s="111">
        <v>113273</v>
      </c>
      <c r="E72" s="111">
        <v>463026</v>
      </c>
      <c r="F72" s="111">
        <v>485383</v>
      </c>
    </row>
    <row r="73" spans="1:6">
      <c r="A73" s="231" t="s">
        <v>487</v>
      </c>
      <c r="B73" s="111">
        <v>0</v>
      </c>
      <c r="C73" s="111">
        <v>0</v>
      </c>
      <c r="D73" s="111">
        <v>0</v>
      </c>
      <c r="E73" s="111">
        <v>0</v>
      </c>
      <c r="F73" s="111">
        <v>0</v>
      </c>
    </row>
    <row r="74" spans="1:6">
      <c r="A74" s="231" t="s">
        <v>488</v>
      </c>
      <c r="B74" s="111">
        <v>2018</v>
      </c>
      <c r="C74" s="111">
        <v>10024</v>
      </c>
      <c r="D74" s="111">
        <v>47494</v>
      </c>
      <c r="E74" s="111">
        <v>255886</v>
      </c>
      <c r="F74" s="111">
        <v>472996</v>
      </c>
    </row>
    <row r="75" spans="1:6">
      <c r="A75" s="231" t="s">
        <v>185</v>
      </c>
      <c r="B75" s="111">
        <v>0</v>
      </c>
      <c r="C75" s="111">
        <v>76521</v>
      </c>
      <c r="D75" s="111">
        <v>348140</v>
      </c>
      <c r="E75" s="111">
        <v>1466338</v>
      </c>
      <c r="F75" s="111">
        <v>2127464</v>
      </c>
    </row>
    <row r="76" spans="1:6">
      <c r="A76" s="231" t="s">
        <v>85</v>
      </c>
      <c r="B76" s="111">
        <v>0</v>
      </c>
      <c r="C76" s="111">
        <v>181</v>
      </c>
      <c r="D76" s="111">
        <v>0</v>
      </c>
      <c r="E76" s="111">
        <v>0</v>
      </c>
      <c r="F76" s="111">
        <v>0</v>
      </c>
    </row>
    <row r="77" spans="1:6">
      <c r="A77" s="231" t="s">
        <v>0</v>
      </c>
      <c r="B77" s="111">
        <v>0</v>
      </c>
      <c r="C77" s="111">
        <v>0</v>
      </c>
      <c r="D77" s="111">
        <v>0</v>
      </c>
      <c r="E77" s="111">
        <v>0</v>
      </c>
      <c r="F77" s="111">
        <v>0</v>
      </c>
    </row>
    <row r="78" spans="1:6">
      <c r="A78" s="231" t="s">
        <v>18</v>
      </c>
      <c r="B78" s="111">
        <v>0</v>
      </c>
      <c r="C78" s="111">
        <v>0</v>
      </c>
      <c r="D78" s="111">
        <v>0</v>
      </c>
      <c r="E78" s="111">
        <v>0</v>
      </c>
      <c r="F78" s="111">
        <v>0</v>
      </c>
    </row>
    <row r="79" spans="1:6">
      <c r="A79" s="231" t="s">
        <v>19</v>
      </c>
      <c r="B79" s="111">
        <v>6</v>
      </c>
      <c r="C79" s="111">
        <v>0</v>
      </c>
      <c r="D79" s="111">
        <v>0</v>
      </c>
      <c r="E79" s="111">
        <v>0</v>
      </c>
      <c r="F79" s="111">
        <v>0</v>
      </c>
    </row>
    <row r="80" spans="1:6">
      <c r="A80" s="231" t="s">
        <v>489</v>
      </c>
      <c r="B80" s="111">
        <v>9420</v>
      </c>
      <c r="C80" s="111">
        <v>66105</v>
      </c>
      <c r="D80" s="111">
        <v>300805</v>
      </c>
      <c r="E80" s="111">
        <v>1148306</v>
      </c>
      <c r="F80" s="111">
        <v>1326050</v>
      </c>
    </row>
    <row r="81" spans="1:7">
      <c r="A81" s="231" t="s">
        <v>296</v>
      </c>
      <c r="B81" s="111">
        <v>-6025</v>
      </c>
      <c r="C81" s="111">
        <v>-37514</v>
      </c>
      <c r="D81" s="111">
        <v>-162060</v>
      </c>
      <c r="E81" s="111">
        <v>-882028</v>
      </c>
      <c r="F81" s="111">
        <v>-2293301</v>
      </c>
    </row>
    <row r="82" spans="1:7">
      <c r="A82" s="233" t="s">
        <v>139</v>
      </c>
      <c r="B82" s="111"/>
      <c r="C82" s="111">
        <v>0</v>
      </c>
      <c r="D82" s="111">
        <v>0</v>
      </c>
      <c r="E82" s="111">
        <v>0</v>
      </c>
      <c r="F82" s="111">
        <v>0</v>
      </c>
    </row>
    <row r="86" spans="1:7">
      <c r="A86" s="229" t="s">
        <v>297</v>
      </c>
      <c r="B86" s="111" t="s">
        <v>370</v>
      </c>
      <c r="C86" s="111"/>
      <c r="D86" s="111" t="s">
        <v>371</v>
      </c>
      <c r="E86" s="111"/>
      <c r="F86" s="111"/>
      <c r="G86" s="11" t="s">
        <v>435</v>
      </c>
    </row>
    <row r="87" spans="1:7">
      <c r="A87" s="229" t="s">
        <v>130</v>
      </c>
      <c r="B87" s="111">
        <v>1000</v>
      </c>
      <c r="C87" s="111"/>
      <c r="D87" s="111"/>
      <c r="E87" s="111"/>
      <c r="F87" s="111"/>
    </row>
    <row r="88" spans="1:7">
      <c r="A88" s="230" t="s">
        <v>74</v>
      </c>
      <c r="B88" s="254">
        <v>33968</v>
      </c>
      <c r="C88" s="254">
        <v>34333</v>
      </c>
      <c r="D88" s="254">
        <v>34698</v>
      </c>
      <c r="E88" s="254">
        <v>35063</v>
      </c>
      <c r="F88" s="254">
        <v>35429</v>
      </c>
    </row>
    <row r="89" spans="1:7">
      <c r="A89" s="231" t="s">
        <v>54</v>
      </c>
      <c r="B89" s="111">
        <v>20000</v>
      </c>
      <c r="C89" s="111">
        <v>20000</v>
      </c>
      <c r="D89" s="111">
        <v>20000</v>
      </c>
      <c r="E89" s="111">
        <v>20000</v>
      </c>
      <c r="F89" s="111">
        <v>20000</v>
      </c>
    </row>
    <row r="90" spans="1:7">
      <c r="A90" s="231" t="s">
        <v>55</v>
      </c>
      <c r="B90" s="111">
        <v>-12000</v>
      </c>
      <c r="C90" s="111">
        <v>-12000</v>
      </c>
      <c r="D90" s="111">
        <v>-12000</v>
      </c>
      <c r="E90" s="111">
        <v>-12000</v>
      </c>
      <c r="F90" s="111">
        <v>-12000</v>
      </c>
    </row>
    <row r="91" spans="1:7">
      <c r="A91" s="231" t="s">
        <v>56</v>
      </c>
      <c r="B91" s="111">
        <v>0</v>
      </c>
      <c r="C91" s="111">
        <v>0</v>
      </c>
      <c r="D91" s="111">
        <v>0</v>
      </c>
      <c r="E91" s="111">
        <v>0</v>
      </c>
      <c r="F91" s="111">
        <v>0</v>
      </c>
    </row>
    <row r="92" spans="1:7">
      <c r="A92" s="231" t="s">
        <v>174</v>
      </c>
      <c r="B92" s="111">
        <v>0</v>
      </c>
      <c r="C92" s="111">
        <v>0</v>
      </c>
      <c r="D92" s="111">
        <v>0</v>
      </c>
      <c r="E92" s="111">
        <v>0</v>
      </c>
      <c r="F92" s="111">
        <v>0</v>
      </c>
    </row>
    <row r="93" spans="1:7">
      <c r="A93" s="231" t="s">
        <v>175</v>
      </c>
      <c r="B93" s="111">
        <v>-2000</v>
      </c>
      <c r="C93" s="111">
        <v>-2000</v>
      </c>
      <c r="D93" s="111">
        <v>-2000</v>
      </c>
      <c r="E93" s="111">
        <v>-2000</v>
      </c>
      <c r="F93" s="111">
        <v>-2000</v>
      </c>
    </row>
    <row r="94" spans="1:7">
      <c r="A94" s="231" t="s">
        <v>176</v>
      </c>
      <c r="B94" s="111">
        <v>-1000</v>
      </c>
      <c r="C94" s="111">
        <v>-1000</v>
      </c>
      <c r="D94" s="111">
        <v>-1000</v>
      </c>
      <c r="E94" s="111">
        <v>-1000</v>
      </c>
      <c r="F94" s="111">
        <v>-1000</v>
      </c>
    </row>
    <row r="95" spans="1:7">
      <c r="A95" s="231" t="s">
        <v>177</v>
      </c>
      <c r="B95" s="111">
        <v>0</v>
      </c>
      <c r="C95" s="111">
        <v>0</v>
      </c>
      <c r="D95" s="111">
        <v>0</v>
      </c>
      <c r="E95" s="111">
        <v>0</v>
      </c>
      <c r="F95" s="111">
        <v>0</v>
      </c>
    </row>
    <row r="96" spans="1:7">
      <c r="A96" s="231" t="s">
        <v>162</v>
      </c>
      <c r="B96" s="111">
        <v>-2000</v>
      </c>
      <c r="C96" s="111">
        <v>-2000</v>
      </c>
      <c r="D96" s="111">
        <v>-2000</v>
      </c>
      <c r="E96" s="111">
        <v>-2000</v>
      </c>
      <c r="F96" s="111">
        <v>-2000</v>
      </c>
    </row>
    <row r="97" spans="1:6">
      <c r="A97" s="231" t="s">
        <v>163</v>
      </c>
      <c r="B97" s="111">
        <v>0</v>
      </c>
      <c r="C97" s="111">
        <v>0</v>
      </c>
      <c r="D97" s="111">
        <v>0</v>
      </c>
      <c r="E97" s="111">
        <v>0</v>
      </c>
      <c r="F97" s="111">
        <v>0</v>
      </c>
    </row>
    <row r="98" spans="1:6">
      <c r="A98" s="231" t="s">
        <v>372</v>
      </c>
      <c r="B98" s="111">
        <v>0</v>
      </c>
      <c r="C98" s="111">
        <v>0</v>
      </c>
      <c r="D98" s="111">
        <v>0</v>
      </c>
      <c r="E98" s="111">
        <v>0</v>
      </c>
      <c r="F98" s="111">
        <v>0</v>
      </c>
    </row>
    <row r="99" spans="1:6">
      <c r="A99" s="231" t="s">
        <v>373</v>
      </c>
      <c r="B99" s="111">
        <v>0</v>
      </c>
      <c r="C99" s="111">
        <v>0</v>
      </c>
      <c r="D99" s="111">
        <v>0</v>
      </c>
      <c r="E99" s="111">
        <v>0</v>
      </c>
      <c r="F99" s="111">
        <v>0</v>
      </c>
    </row>
    <row r="100" spans="1:6">
      <c r="A100" s="231" t="s">
        <v>374</v>
      </c>
      <c r="B100" s="111">
        <v>0</v>
      </c>
      <c r="C100" s="111">
        <v>0</v>
      </c>
      <c r="D100" s="111">
        <v>0</v>
      </c>
      <c r="E100" s="111">
        <v>0</v>
      </c>
      <c r="F100" s="111">
        <v>0</v>
      </c>
    </row>
    <row r="101" spans="1:6">
      <c r="A101" s="231" t="s">
        <v>366</v>
      </c>
      <c r="B101" s="111">
        <v>1000</v>
      </c>
      <c r="C101" s="111">
        <v>1000</v>
      </c>
      <c r="D101" s="111">
        <v>1000</v>
      </c>
      <c r="E101" s="111">
        <v>1000</v>
      </c>
      <c r="F101" s="111">
        <v>1000</v>
      </c>
    </row>
    <row r="102" spans="1:6">
      <c r="A102" s="231" t="s">
        <v>409</v>
      </c>
      <c r="B102" s="111">
        <v>0</v>
      </c>
      <c r="C102" s="111">
        <v>0</v>
      </c>
      <c r="D102" s="111">
        <v>0</v>
      </c>
      <c r="E102" s="111">
        <v>0</v>
      </c>
      <c r="F102" s="111">
        <v>0</v>
      </c>
    </row>
    <row r="103" spans="1:6">
      <c r="A103" s="231" t="s">
        <v>410</v>
      </c>
      <c r="B103" s="111">
        <v>0</v>
      </c>
      <c r="C103" s="111">
        <v>0</v>
      </c>
      <c r="D103" s="111">
        <v>0</v>
      </c>
      <c r="E103" s="111">
        <v>0</v>
      </c>
      <c r="F103" s="111">
        <v>0</v>
      </c>
    </row>
    <row r="104" spans="1:6">
      <c r="A104" s="231" t="s">
        <v>304</v>
      </c>
      <c r="B104" s="111">
        <v>0</v>
      </c>
      <c r="C104" s="111">
        <v>0</v>
      </c>
      <c r="D104" s="111">
        <v>0</v>
      </c>
      <c r="E104" s="111">
        <v>0</v>
      </c>
      <c r="F104" s="111">
        <v>0</v>
      </c>
    </row>
    <row r="105" spans="1:6">
      <c r="A105" s="231" t="s">
        <v>305</v>
      </c>
      <c r="B105" s="111">
        <v>20000</v>
      </c>
      <c r="C105" s="111">
        <v>20000</v>
      </c>
      <c r="D105" s="111">
        <v>20000</v>
      </c>
      <c r="E105" s="111">
        <v>20000</v>
      </c>
      <c r="F105" s="111">
        <v>20000</v>
      </c>
    </row>
    <row r="106" spans="1:6">
      <c r="A106" s="231" t="s">
        <v>306</v>
      </c>
      <c r="B106" s="111">
        <v>0</v>
      </c>
      <c r="C106" s="111">
        <v>0</v>
      </c>
      <c r="D106" s="111">
        <v>0</v>
      </c>
      <c r="E106" s="111">
        <v>0</v>
      </c>
      <c r="F106" s="111">
        <v>0</v>
      </c>
    </row>
    <row r="107" spans="1:6">
      <c r="A107" s="231" t="s">
        <v>307</v>
      </c>
      <c r="B107" s="111">
        <v>0</v>
      </c>
      <c r="C107" s="111">
        <v>0</v>
      </c>
      <c r="D107" s="111">
        <v>0</v>
      </c>
      <c r="E107" s="111">
        <v>0</v>
      </c>
      <c r="F107" s="111">
        <v>0</v>
      </c>
    </row>
    <row r="108" spans="1:6">
      <c r="A108" s="231" t="s">
        <v>178</v>
      </c>
      <c r="B108" s="111">
        <v>0</v>
      </c>
      <c r="C108" s="111">
        <v>0</v>
      </c>
      <c r="D108" s="111">
        <v>0</v>
      </c>
      <c r="E108" s="111">
        <v>0</v>
      </c>
      <c r="F108" s="111">
        <v>0</v>
      </c>
    </row>
    <row r="109" spans="1:6">
      <c r="A109" s="231" t="s">
        <v>186</v>
      </c>
      <c r="B109" s="111">
        <v>0</v>
      </c>
      <c r="C109" s="111">
        <v>0</v>
      </c>
      <c r="D109" s="111">
        <v>0</v>
      </c>
      <c r="E109" s="111">
        <v>0</v>
      </c>
      <c r="F109" s="111">
        <v>0</v>
      </c>
    </row>
    <row r="110" spans="1:6">
      <c r="A110" s="231" t="s">
        <v>287</v>
      </c>
      <c r="B110" s="111">
        <v>0</v>
      </c>
      <c r="C110" s="111">
        <v>0</v>
      </c>
      <c r="D110" s="111">
        <v>0</v>
      </c>
      <c r="E110" s="111">
        <v>0</v>
      </c>
      <c r="F110" s="111">
        <v>0</v>
      </c>
    </row>
    <row r="111" spans="1:6">
      <c r="A111" s="231" t="s">
        <v>91</v>
      </c>
      <c r="B111" s="111">
        <v>0</v>
      </c>
      <c r="C111" s="111">
        <v>0</v>
      </c>
      <c r="D111" s="111">
        <v>0</v>
      </c>
      <c r="E111" s="111">
        <v>0</v>
      </c>
      <c r="F111" s="111">
        <v>0</v>
      </c>
    </row>
    <row r="112" spans="1:6">
      <c r="A112" s="231" t="s">
        <v>490</v>
      </c>
      <c r="B112" s="111">
        <v>0</v>
      </c>
      <c r="C112" s="111">
        <v>0</v>
      </c>
      <c r="D112" s="111">
        <v>0</v>
      </c>
      <c r="E112" s="111">
        <v>0</v>
      </c>
      <c r="F112" s="111">
        <v>0</v>
      </c>
    </row>
    <row r="113" spans="1:7">
      <c r="A113" s="231" t="s">
        <v>1</v>
      </c>
      <c r="B113" s="111">
        <v>10000</v>
      </c>
      <c r="C113" s="111">
        <v>10000</v>
      </c>
      <c r="D113" s="111">
        <v>10000</v>
      </c>
      <c r="E113" s="111">
        <v>10000</v>
      </c>
      <c r="F113" s="111">
        <v>10000</v>
      </c>
    </row>
    <row r="114" spans="1:7">
      <c r="A114" s="231" t="s">
        <v>2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</row>
    <row r="115" spans="1:7">
      <c r="A115" s="231" t="s">
        <v>3</v>
      </c>
      <c r="B115" s="111">
        <v>0</v>
      </c>
      <c r="C115" s="111">
        <v>0</v>
      </c>
      <c r="D115" s="111">
        <v>0</v>
      </c>
      <c r="E115" s="111">
        <v>0</v>
      </c>
      <c r="F115" s="111">
        <v>0</v>
      </c>
    </row>
    <row r="116" spans="1:7">
      <c r="A116" s="231" t="s">
        <v>4</v>
      </c>
      <c r="B116" s="111">
        <v>0</v>
      </c>
      <c r="C116" s="111">
        <v>0</v>
      </c>
      <c r="D116" s="111">
        <v>0</v>
      </c>
      <c r="E116" s="111">
        <v>0</v>
      </c>
      <c r="F116" s="111">
        <v>0</v>
      </c>
    </row>
    <row r="117" spans="1:7">
      <c r="A117" s="231" t="s">
        <v>5</v>
      </c>
      <c r="B117" s="111">
        <v>0</v>
      </c>
      <c r="C117" s="111">
        <v>0</v>
      </c>
      <c r="D117" s="111">
        <v>0</v>
      </c>
      <c r="E117" s="111">
        <v>0</v>
      </c>
      <c r="F117" s="111">
        <v>0</v>
      </c>
    </row>
    <row r="118" spans="1:7">
      <c r="A118" s="231" t="s">
        <v>389</v>
      </c>
      <c r="B118" s="111">
        <v>10000</v>
      </c>
      <c r="C118" s="111">
        <v>10000</v>
      </c>
      <c r="D118" s="111">
        <v>10000</v>
      </c>
      <c r="E118" s="111">
        <v>10000</v>
      </c>
      <c r="F118" s="111">
        <v>10000</v>
      </c>
    </row>
    <row r="119" spans="1:7">
      <c r="A119" s="231" t="s">
        <v>390</v>
      </c>
      <c r="B119" s="111">
        <v>1000</v>
      </c>
      <c r="C119" s="111">
        <v>1000</v>
      </c>
      <c r="D119" s="111">
        <v>1000</v>
      </c>
      <c r="E119" s="111">
        <v>1000</v>
      </c>
      <c r="F119" s="111">
        <v>1000</v>
      </c>
    </row>
    <row r="120" spans="1:7">
      <c r="A120" s="233" t="s">
        <v>139</v>
      </c>
      <c r="B120" s="111"/>
      <c r="C120" s="111">
        <v>0</v>
      </c>
      <c r="D120" s="111">
        <v>0</v>
      </c>
      <c r="E120" s="111">
        <v>0</v>
      </c>
      <c r="F120" s="111">
        <v>0</v>
      </c>
    </row>
    <row r="124" spans="1:7">
      <c r="A124" s="229" t="s">
        <v>391</v>
      </c>
      <c r="B124" s="111" t="s">
        <v>392</v>
      </c>
      <c r="C124" s="111"/>
      <c r="D124" s="111" t="s">
        <v>359</v>
      </c>
      <c r="E124" s="111"/>
      <c r="F124" s="111"/>
      <c r="G124" s="11" t="s">
        <v>435</v>
      </c>
    </row>
    <row r="125" spans="1:7">
      <c r="A125" s="229" t="s">
        <v>130</v>
      </c>
      <c r="B125" s="111">
        <v>6668000</v>
      </c>
      <c r="C125" s="111"/>
      <c r="D125" s="111"/>
      <c r="E125" s="111"/>
      <c r="F125" s="111"/>
    </row>
    <row r="126" spans="1:7">
      <c r="A126" s="230" t="s">
        <v>74</v>
      </c>
      <c r="B126" s="254">
        <v>33602</v>
      </c>
      <c r="C126" s="254">
        <v>33968</v>
      </c>
      <c r="D126" s="254">
        <v>34333</v>
      </c>
      <c r="E126" s="254">
        <v>34698</v>
      </c>
      <c r="F126" s="254">
        <v>35063</v>
      </c>
    </row>
    <row r="127" spans="1:7">
      <c r="A127" s="231" t="s">
        <v>54</v>
      </c>
      <c r="B127" s="111">
        <v>16202000</v>
      </c>
      <c r="C127" s="111">
        <v>20847000</v>
      </c>
      <c r="D127" s="111">
        <v>25070000</v>
      </c>
      <c r="E127" s="111">
        <v>26273000</v>
      </c>
      <c r="F127" s="111">
        <v>29389000</v>
      </c>
    </row>
    <row r="128" spans="1:7">
      <c r="A128" s="231" t="s">
        <v>55</v>
      </c>
      <c r="B128" s="111">
        <v>-7811000</v>
      </c>
      <c r="C128" s="111">
        <v>-9164000</v>
      </c>
      <c r="D128" s="111">
        <v>-9945000</v>
      </c>
      <c r="E128" s="111">
        <v>-12144000</v>
      </c>
      <c r="F128" s="111">
        <v>-11836000</v>
      </c>
    </row>
    <row r="129" spans="1:6">
      <c r="A129" s="231" t="s">
        <v>56</v>
      </c>
      <c r="B129" s="111">
        <v>-1296000</v>
      </c>
      <c r="C129" s="111">
        <v>-1808000</v>
      </c>
      <c r="D129" s="111">
        <v>-2347000</v>
      </c>
      <c r="E129" s="111">
        <v>-2674000</v>
      </c>
      <c r="F129" s="111">
        <v>-3503000</v>
      </c>
    </row>
    <row r="130" spans="1:6">
      <c r="A130" s="231" t="s">
        <v>174</v>
      </c>
      <c r="B130" s="111">
        <v>-1843000</v>
      </c>
      <c r="C130" s="111">
        <v>-2322000</v>
      </c>
      <c r="D130" s="111">
        <v>-2891000</v>
      </c>
      <c r="E130" s="111">
        <v>-3076000</v>
      </c>
      <c r="F130" s="111">
        <v>-3872000</v>
      </c>
    </row>
    <row r="131" spans="1:6">
      <c r="A131" s="231" t="s">
        <v>175</v>
      </c>
      <c r="B131" s="111">
        <v>0</v>
      </c>
      <c r="C131" s="111">
        <v>0</v>
      </c>
      <c r="D131" s="111">
        <v>0</v>
      </c>
      <c r="E131" s="111">
        <v>0</v>
      </c>
      <c r="F131" s="111">
        <v>-411000</v>
      </c>
    </row>
    <row r="132" spans="1:6">
      <c r="A132" s="231" t="s">
        <v>176</v>
      </c>
      <c r="B132" s="111">
        <v>-29000</v>
      </c>
      <c r="C132" s="111">
        <v>-25000</v>
      </c>
      <c r="D132" s="111">
        <v>-27000</v>
      </c>
      <c r="E132" s="111">
        <v>-34000</v>
      </c>
      <c r="F132" s="111">
        <v>-36000</v>
      </c>
    </row>
    <row r="133" spans="1:6">
      <c r="A133" s="231" t="s">
        <v>177</v>
      </c>
      <c r="B133" s="111">
        <v>415000</v>
      </c>
      <c r="C133" s="111">
        <v>406000</v>
      </c>
      <c r="D133" s="111">
        <v>799000</v>
      </c>
      <c r="E133" s="111">
        <v>792000</v>
      </c>
      <c r="F133" s="111">
        <v>1497000</v>
      </c>
    </row>
    <row r="134" spans="1:6">
      <c r="A134" s="231" t="s">
        <v>162</v>
      </c>
      <c r="B134" s="111">
        <v>-2072000</v>
      </c>
      <c r="C134" s="111">
        <v>-2777000</v>
      </c>
      <c r="D134" s="111">
        <v>-3714000</v>
      </c>
      <c r="E134" s="111">
        <v>-3069000</v>
      </c>
      <c r="F134" s="111">
        <v>-3914000</v>
      </c>
    </row>
    <row r="135" spans="1:6">
      <c r="A135" s="231" t="s">
        <v>163</v>
      </c>
      <c r="B135" s="111">
        <v>0</v>
      </c>
      <c r="C135" s="111">
        <v>0</v>
      </c>
      <c r="D135" s="111">
        <v>0</v>
      </c>
      <c r="E135" s="111">
        <v>0</v>
      </c>
      <c r="F135" s="111">
        <v>0</v>
      </c>
    </row>
    <row r="136" spans="1:6">
      <c r="A136" s="231" t="s">
        <v>372</v>
      </c>
      <c r="B136" s="111">
        <v>0</v>
      </c>
      <c r="C136" s="111">
        <v>0</v>
      </c>
      <c r="D136" s="111">
        <v>0</v>
      </c>
      <c r="E136" s="111">
        <v>0</v>
      </c>
      <c r="F136" s="111">
        <v>0</v>
      </c>
    </row>
    <row r="137" spans="1:6">
      <c r="A137" s="231" t="s">
        <v>373</v>
      </c>
      <c r="B137" s="111">
        <v>0</v>
      </c>
      <c r="C137" s="111">
        <v>0</v>
      </c>
      <c r="D137" s="111">
        <v>0</v>
      </c>
      <c r="E137" s="111">
        <v>0</v>
      </c>
      <c r="F137" s="111">
        <v>0</v>
      </c>
    </row>
    <row r="138" spans="1:6">
      <c r="A138" s="231" t="s">
        <v>374</v>
      </c>
      <c r="B138" s="111">
        <v>0</v>
      </c>
      <c r="C138" s="111">
        <v>0</v>
      </c>
      <c r="D138" s="111">
        <v>0</v>
      </c>
      <c r="E138" s="111">
        <v>0</v>
      </c>
      <c r="F138" s="111">
        <v>0</v>
      </c>
    </row>
    <row r="139" spans="1:6">
      <c r="A139" s="231" t="s">
        <v>366</v>
      </c>
      <c r="B139" s="111">
        <v>2458000</v>
      </c>
      <c r="C139" s="111">
        <v>7907000</v>
      </c>
      <c r="D139" s="111">
        <v>9732000</v>
      </c>
      <c r="E139" s="111">
        <v>7310000</v>
      </c>
      <c r="F139" s="111">
        <v>11400000</v>
      </c>
    </row>
    <row r="140" spans="1:6">
      <c r="A140" s="231" t="s">
        <v>409</v>
      </c>
      <c r="B140" s="111">
        <v>3116000</v>
      </c>
      <c r="C140" s="111">
        <v>3723000</v>
      </c>
      <c r="D140" s="111">
        <v>3438000</v>
      </c>
      <c r="E140" s="111">
        <v>3527000</v>
      </c>
      <c r="F140" s="111">
        <v>3700000</v>
      </c>
    </row>
    <row r="141" spans="1:6">
      <c r="A141" s="231" t="s">
        <v>410</v>
      </c>
      <c r="B141" s="111">
        <v>2004000</v>
      </c>
      <c r="C141" s="111">
        <v>1293000</v>
      </c>
      <c r="D141" s="111">
        <v>1697000</v>
      </c>
      <c r="E141" s="111">
        <v>1582000</v>
      </c>
      <c r="F141" s="111">
        <v>1478000</v>
      </c>
    </row>
    <row r="142" spans="1:6">
      <c r="A142" s="231" t="s">
        <v>304</v>
      </c>
      <c r="B142" s="111">
        <v>519000</v>
      </c>
      <c r="C142" s="111">
        <v>761000</v>
      </c>
      <c r="D142" s="111">
        <v>1000000</v>
      </c>
      <c r="E142" s="111">
        <v>1056000</v>
      </c>
      <c r="F142" s="111">
        <v>1241000</v>
      </c>
    </row>
    <row r="143" spans="1:6">
      <c r="A143" s="231" t="s">
        <v>305</v>
      </c>
      <c r="B143" s="111">
        <v>7471000</v>
      </c>
      <c r="C143" s="111">
        <v>8487000</v>
      </c>
      <c r="D143" s="111">
        <v>10666000</v>
      </c>
      <c r="E143" s="111">
        <v>11609000</v>
      </c>
      <c r="F143" s="111">
        <v>11715000</v>
      </c>
    </row>
    <row r="144" spans="1:6">
      <c r="A144" s="231" t="s">
        <v>306</v>
      </c>
      <c r="B144" s="111">
        <v>1653000</v>
      </c>
      <c r="C144" s="111">
        <v>1353000</v>
      </c>
      <c r="D144" s="111">
        <v>1839000</v>
      </c>
      <c r="E144" s="111">
        <v>5365000</v>
      </c>
      <c r="F144" s="111">
        <v>7911000</v>
      </c>
    </row>
    <row r="145" spans="1:6">
      <c r="A145" s="231" t="s">
        <v>307</v>
      </c>
      <c r="B145" s="111">
        <v>0</v>
      </c>
      <c r="C145" s="111">
        <v>0</v>
      </c>
      <c r="D145" s="111">
        <v>0</v>
      </c>
      <c r="E145" s="111">
        <v>111000</v>
      </c>
      <c r="F145" s="111">
        <v>4934000</v>
      </c>
    </row>
    <row r="146" spans="1:6">
      <c r="A146" s="231" t="s">
        <v>178</v>
      </c>
      <c r="B146" s="111">
        <v>283000</v>
      </c>
      <c r="C146" s="111">
        <v>211000</v>
      </c>
      <c r="D146" s="111">
        <v>508000</v>
      </c>
      <c r="E146" s="111">
        <v>911000</v>
      </c>
      <c r="F146" s="111">
        <v>1470000</v>
      </c>
    </row>
    <row r="147" spans="1:6">
      <c r="A147" s="231" t="s">
        <v>186</v>
      </c>
      <c r="B147" s="111">
        <v>346000</v>
      </c>
      <c r="C147" s="111">
        <v>389000</v>
      </c>
      <c r="D147" s="111">
        <v>322000</v>
      </c>
      <c r="E147" s="111">
        <v>159000</v>
      </c>
      <c r="F147" s="111">
        <v>230000</v>
      </c>
    </row>
    <row r="148" spans="1:6">
      <c r="A148" s="231" t="s">
        <v>287</v>
      </c>
      <c r="B148" s="111">
        <v>864000</v>
      </c>
      <c r="C148" s="111">
        <v>969000</v>
      </c>
      <c r="D148" s="111">
        <v>1407000</v>
      </c>
      <c r="E148" s="111">
        <v>1244000</v>
      </c>
      <c r="F148" s="111">
        <v>1370000</v>
      </c>
    </row>
    <row r="149" spans="1:6">
      <c r="A149" s="231" t="s">
        <v>91</v>
      </c>
      <c r="B149" s="111">
        <v>0</v>
      </c>
      <c r="C149" s="111">
        <v>0</v>
      </c>
      <c r="D149" s="111">
        <v>0</v>
      </c>
      <c r="E149" s="111">
        <v>0</v>
      </c>
      <c r="F149" s="111">
        <v>0</v>
      </c>
    </row>
    <row r="150" spans="1:6">
      <c r="A150" s="231" t="s">
        <v>490</v>
      </c>
      <c r="B150" s="111">
        <v>2409000</v>
      </c>
      <c r="C150" s="111">
        <v>3505000</v>
      </c>
      <c r="D150" s="111">
        <v>4291000</v>
      </c>
      <c r="E150" s="111">
        <v>4401000</v>
      </c>
      <c r="F150" s="111">
        <v>5499000</v>
      </c>
    </row>
    <row r="151" spans="1:6">
      <c r="A151" s="231" t="s">
        <v>1</v>
      </c>
      <c r="B151" s="111">
        <v>400000</v>
      </c>
      <c r="C151" s="111">
        <v>728000</v>
      </c>
      <c r="D151" s="111">
        <v>448000</v>
      </c>
      <c r="E151" s="111">
        <v>702000</v>
      </c>
      <c r="F151" s="111">
        <v>955000</v>
      </c>
    </row>
    <row r="152" spans="1:6">
      <c r="A152" s="231" t="s">
        <v>2</v>
      </c>
      <c r="B152" s="111">
        <v>0</v>
      </c>
      <c r="C152" s="111">
        <v>0</v>
      </c>
      <c r="D152" s="111">
        <v>0</v>
      </c>
      <c r="E152" s="111">
        <v>0</v>
      </c>
      <c r="F152" s="111">
        <v>0</v>
      </c>
    </row>
    <row r="153" spans="1:6">
      <c r="A153" s="231" t="s">
        <v>3</v>
      </c>
      <c r="B153" s="111">
        <v>620000</v>
      </c>
      <c r="C153" s="111">
        <v>997000</v>
      </c>
      <c r="D153" s="111">
        <v>1076000</v>
      </c>
      <c r="E153" s="111">
        <v>1387000</v>
      </c>
      <c r="F153" s="111">
        <v>3130000</v>
      </c>
    </row>
    <row r="154" spans="1:6">
      <c r="A154" s="231" t="s">
        <v>4</v>
      </c>
      <c r="B154" s="111">
        <v>0</v>
      </c>
      <c r="C154" s="111">
        <v>0</v>
      </c>
      <c r="D154" s="111">
        <v>0</v>
      </c>
      <c r="E154" s="111">
        <v>0</v>
      </c>
      <c r="F154" s="111">
        <v>0</v>
      </c>
    </row>
    <row r="155" spans="1:6">
      <c r="A155" s="231" t="s">
        <v>5</v>
      </c>
      <c r="B155" s="111">
        <v>0</v>
      </c>
      <c r="C155" s="111">
        <v>0</v>
      </c>
      <c r="D155" s="111">
        <v>0</v>
      </c>
      <c r="E155" s="111">
        <v>0</v>
      </c>
      <c r="F155" s="111">
        <v>0</v>
      </c>
    </row>
    <row r="156" spans="1:6">
      <c r="A156" s="231" t="s">
        <v>389</v>
      </c>
      <c r="B156" s="111">
        <v>3308000</v>
      </c>
      <c r="C156" s="111">
        <v>3172000</v>
      </c>
      <c r="D156" s="111">
        <v>5352000</v>
      </c>
      <c r="E156" s="111">
        <v>5626000</v>
      </c>
      <c r="F156" s="111">
        <v>11237000</v>
      </c>
    </row>
    <row r="157" spans="1:6">
      <c r="A157" s="231" t="s">
        <v>390</v>
      </c>
      <c r="B157" s="111">
        <v>9557000</v>
      </c>
      <c r="C157" s="111">
        <v>13975000</v>
      </c>
      <c r="D157" s="111">
        <v>15984000</v>
      </c>
      <c r="E157" s="111">
        <v>17952000</v>
      </c>
      <c r="F157" s="111">
        <v>21428000</v>
      </c>
    </row>
    <row r="158" spans="1:6">
      <c r="A158" s="233" t="s">
        <v>139</v>
      </c>
      <c r="B158" s="111"/>
      <c r="C158" s="111">
        <v>147780</v>
      </c>
      <c r="D158" s="111">
        <v>188848</v>
      </c>
      <c r="E158" s="111">
        <v>165750</v>
      </c>
      <c r="F158" s="111">
        <v>366740</v>
      </c>
    </row>
    <row r="162" spans="1:7">
      <c r="A162" s="229" t="s">
        <v>391</v>
      </c>
      <c r="B162" s="111" t="s">
        <v>360</v>
      </c>
      <c r="C162" s="111"/>
      <c r="D162" s="111" t="s">
        <v>361</v>
      </c>
      <c r="E162" s="111"/>
      <c r="F162" s="111"/>
      <c r="G162" s="11" t="s">
        <v>435</v>
      </c>
    </row>
    <row r="163" spans="1:7">
      <c r="A163" s="229" t="s">
        <v>52</v>
      </c>
      <c r="B163" s="111">
        <v>52732.025000000001</v>
      </c>
      <c r="C163" s="111"/>
      <c r="D163" s="111"/>
      <c r="E163" s="111"/>
      <c r="F163" s="111"/>
    </row>
    <row r="164" spans="1:7">
      <c r="A164" s="230" t="s">
        <v>74</v>
      </c>
      <c r="B164" s="254">
        <v>35429</v>
      </c>
      <c r="C164" s="254">
        <v>35794</v>
      </c>
      <c r="D164" s="254">
        <v>36159</v>
      </c>
      <c r="E164" s="254">
        <v>36524</v>
      </c>
      <c r="F164" s="254">
        <v>36890</v>
      </c>
    </row>
    <row r="165" spans="1:7">
      <c r="A165" s="231" t="s">
        <v>54</v>
      </c>
      <c r="B165" s="111">
        <v>0</v>
      </c>
      <c r="C165" s="111">
        <v>75912</v>
      </c>
      <c r="D165" s="111">
        <v>152806</v>
      </c>
      <c r="E165" s="111">
        <v>272243</v>
      </c>
      <c r="F165" s="111">
        <v>506228</v>
      </c>
    </row>
    <row r="166" spans="1:7">
      <c r="A166" s="231" t="s">
        <v>55</v>
      </c>
      <c r="B166" s="111">
        <v>0</v>
      </c>
      <c r="C166" s="111">
        <v>-20110</v>
      </c>
      <c r="D166" s="111">
        <v>-51659</v>
      </c>
      <c r="E166" s="111">
        <v>-97369</v>
      </c>
      <c r="F166" s="111">
        <v>-188254</v>
      </c>
    </row>
    <row r="167" spans="1:7">
      <c r="A167" s="231" t="s">
        <v>56</v>
      </c>
      <c r="B167" s="111">
        <v>0</v>
      </c>
      <c r="C167" s="111">
        <v>-17734</v>
      </c>
      <c r="D167" s="111">
        <v>-14625</v>
      </c>
      <c r="E167" s="111">
        <v>-17884</v>
      </c>
      <c r="F167" s="111">
        <v>-22906</v>
      </c>
    </row>
    <row r="168" spans="1:7">
      <c r="A168" s="231" t="s">
        <v>174</v>
      </c>
      <c r="B168" s="111">
        <v>0</v>
      </c>
      <c r="C168" s="111">
        <v>-44827</v>
      </c>
      <c r="D168" s="111">
        <v>-71717</v>
      </c>
      <c r="E168" s="111">
        <v>-101527</v>
      </c>
      <c r="F168" s="111">
        <v>-187510</v>
      </c>
    </row>
    <row r="169" spans="1:7">
      <c r="A169" s="231" t="s">
        <v>175</v>
      </c>
      <c r="B169" s="111">
        <v>0</v>
      </c>
      <c r="C169" s="111">
        <v>-29797</v>
      </c>
      <c r="D169" s="111">
        <v>-26477</v>
      </c>
      <c r="E169" s="111">
        <v>-50991</v>
      </c>
      <c r="F169" s="111">
        <v>-88204</v>
      </c>
    </row>
    <row r="170" spans="1:7">
      <c r="A170" s="231" t="s">
        <v>176</v>
      </c>
      <c r="B170" s="111">
        <v>0</v>
      </c>
      <c r="C170" s="111">
        <v>-1852</v>
      </c>
      <c r="D170" s="111">
        <v>-11972</v>
      </c>
      <c r="E170" s="111">
        <v>-417</v>
      </c>
      <c r="F170" s="111">
        <v>-170</v>
      </c>
    </row>
    <row r="171" spans="1:7">
      <c r="A171" s="231" t="s">
        <v>177</v>
      </c>
      <c r="B171" s="111">
        <v>0</v>
      </c>
      <c r="C171" s="111">
        <v>-210</v>
      </c>
      <c r="D171" s="111">
        <v>1697</v>
      </c>
      <c r="E171" s="111">
        <v>2457</v>
      </c>
      <c r="F171" s="111">
        <v>2592</v>
      </c>
    </row>
    <row r="172" spans="1:7">
      <c r="A172" s="231" t="s">
        <v>162</v>
      </c>
      <c r="B172" s="111">
        <v>0</v>
      </c>
      <c r="C172" s="111">
        <v>0</v>
      </c>
      <c r="D172" s="111">
        <v>0</v>
      </c>
      <c r="E172" s="111">
        <v>0</v>
      </c>
      <c r="F172" s="111">
        <v>-181</v>
      </c>
    </row>
    <row r="173" spans="1:7">
      <c r="A173" s="231" t="s">
        <v>163</v>
      </c>
      <c r="B173" s="111">
        <v>0</v>
      </c>
      <c r="C173" s="111">
        <v>0</v>
      </c>
      <c r="D173" s="111">
        <v>0</v>
      </c>
      <c r="E173" s="111">
        <v>0</v>
      </c>
      <c r="F173" s="111">
        <v>0</v>
      </c>
    </row>
    <row r="174" spans="1:7">
      <c r="A174" s="231" t="s">
        <v>372</v>
      </c>
      <c r="B174" s="111">
        <v>0</v>
      </c>
      <c r="C174" s="111">
        <v>0</v>
      </c>
      <c r="D174" s="111">
        <v>0</v>
      </c>
      <c r="E174" s="111">
        <v>0</v>
      </c>
      <c r="F174" s="111">
        <v>0</v>
      </c>
    </row>
    <row r="175" spans="1:7">
      <c r="A175" s="231" t="s">
        <v>373</v>
      </c>
      <c r="B175" s="111">
        <v>0</v>
      </c>
      <c r="C175" s="111">
        <v>0</v>
      </c>
      <c r="D175" s="111">
        <v>0</v>
      </c>
      <c r="E175" s="111">
        <v>0</v>
      </c>
      <c r="F175" s="111">
        <v>0</v>
      </c>
    </row>
    <row r="176" spans="1:7">
      <c r="A176" s="231" t="s">
        <v>374</v>
      </c>
      <c r="B176" s="111">
        <v>0</v>
      </c>
      <c r="C176" s="111">
        <v>0</v>
      </c>
      <c r="D176" s="111">
        <v>0</v>
      </c>
      <c r="E176" s="111">
        <v>0</v>
      </c>
      <c r="F176" s="111">
        <v>0</v>
      </c>
    </row>
    <row r="177" spans="1:6">
      <c r="A177" s="231" t="s">
        <v>366</v>
      </c>
      <c r="B177" s="111">
        <v>0</v>
      </c>
      <c r="C177" s="111">
        <v>16131</v>
      </c>
      <c r="D177" s="111">
        <v>103610</v>
      </c>
      <c r="E177" s="111">
        <v>135191</v>
      </c>
      <c r="F177" s="111">
        <v>174461</v>
      </c>
    </row>
    <row r="178" spans="1:6">
      <c r="A178" s="231" t="s">
        <v>409</v>
      </c>
      <c r="B178" s="111">
        <v>0</v>
      </c>
      <c r="C178" s="111">
        <v>0</v>
      </c>
      <c r="D178" s="111">
        <v>0</v>
      </c>
      <c r="E178" s="111">
        <v>0</v>
      </c>
      <c r="F178" s="111">
        <v>0</v>
      </c>
    </row>
    <row r="179" spans="1:6">
      <c r="A179" s="231" t="s">
        <v>410</v>
      </c>
      <c r="B179" s="111">
        <v>0</v>
      </c>
      <c r="C179" s="111">
        <v>0</v>
      </c>
      <c r="D179" s="111">
        <v>0</v>
      </c>
      <c r="E179" s="111">
        <v>0</v>
      </c>
      <c r="F179" s="111">
        <v>0</v>
      </c>
    </row>
    <row r="180" spans="1:6">
      <c r="A180" s="231" t="s">
        <v>304</v>
      </c>
      <c r="B180" s="111">
        <v>0</v>
      </c>
      <c r="C180" s="111">
        <v>3421</v>
      </c>
      <c r="D180" s="111">
        <v>3465</v>
      </c>
      <c r="E180" s="111">
        <v>3755</v>
      </c>
      <c r="F180" s="111">
        <v>12885</v>
      </c>
    </row>
    <row r="181" spans="1:6">
      <c r="A181" s="231" t="s">
        <v>305</v>
      </c>
      <c r="B181" s="111">
        <v>0</v>
      </c>
      <c r="C181" s="111">
        <v>11838</v>
      </c>
      <c r="D181" s="111">
        <v>15592</v>
      </c>
      <c r="E181" s="111">
        <v>9772</v>
      </c>
      <c r="F181" s="111">
        <v>18728</v>
      </c>
    </row>
    <row r="182" spans="1:6">
      <c r="A182" s="231" t="s">
        <v>306</v>
      </c>
      <c r="B182" s="111">
        <v>0</v>
      </c>
      <c r="C182" s="111">
        <v>0</v>
      </c>
      <c r="D182" s="111">
        <v>0</v>
      </c>
      <c r="E182" s="111">
        <v>0</v>
      </c>
      <c r="F182" s="111">
        <v>0</v>
      </c>
    </row>
    <row r="183" spans="1:6">
      <c r="A183" s="231" t="s">
        <v>307</v>
      </c>
      <c r="B183" s="111">
        <v>0</v>
      </c>
      <c r="C183" s="111">
        <v>7917</v>
      </c>
      <c r="D183" s="111">
        <v>6094</v>
      </c>
      <c r="E183" s="111">
        <v>2948</v>
      </c>
      <c r="F183" s="111">
        <v>961</v>
      </c>
    </row>
    <row r="184" spans="1:6">
      <c r="A184" s="231" t="s">
        <v>178</v>
      </c>
      <c r="B184" s="111">
        <v>0</v>
      </c>
      <c r="C184" s="111">
        <v>2323</v>
      </c>
      <c r="D184" s="111">
        <v>1769</v>
      </c>
      <c r="E184" s="111">
        <v>24346</v>
      </c>
      <c r="F184" s="111">
        <v>44758</v>
      </c>
    </row>
    <row r="185" spans="1:6">
      <c r="A185" s="231" t="s">
        <v>186</v>
      </c>
      <c r="B185" s="111">
        <v>0</v>
      </c>
      <c r="C185" s="111">
        <v>3012</v>
      </c>
      <c r="D185" s="111">
        <v>1231</v>
      </c>
      <c r="E185" s="111">
        <v>416</v>
      </c>
      <c r="F185" s="111">
        <v>68</v>
      </c>
    </row>
    <row r="186" spans="1:6">
      <c r="A186" s="231" t="s">
        <v>287</v>
      </c>
      <c r="B186" s="111">
        <v>0</v>
      </c>
      <c r="C186" s="111">
        <v>13715</v>
      </c>
      <c r="D186" s="111">
        <v>20350</v>
      </c>
      <c r="E186" s="111">
        <v>32654</v>
      </c>
      <c r="F186" s="111">
        <v>49775</v>
      </c>
    </row>
    <row r="187" spans="1:6">
      <c r="A187" s="231" t="s">
        <v>91</v>
      </c>
      <c r="B187" s="111">
        <v>0</v>
      </c>
      <c r="C187" s="111">
        <v>0</v>
      </c>
      <c r="D187" s="111">
        <v>0</v>
      </c>
      <c r="E187" s="111">
        <v>0</v>
      </c>
      <c r="F187" s="111">
        <v>0</v>
      </c>
    </row>
    <row r="188" spans="1:6">
      <c r="A188" s="231" t="s">
        <v>490</v>
      </c>
      <c r="B188" s="111">
        <v>0</v>
      </c>
      <c r="C188" s="111">
        <v>9481</v>
      </c>
      <c r="D188" s="111">
        <v>18845</v>
      </c>
      <c r="E188" s="111">
        <v>29949</v>
      </c>
      <c r="F188" s="111">
        <v>45067</v>
      </c>
    </row>
    <row r="189" spans="1:6">
      <c r="A189" s="231" t="s">
        <v>1</v>
      </c>
      <c r="B189" s="111">
        <v>0</v>
      </c>
      <c r="C189" s="111">
        <v>3856</v>
      </c>
      <c r="D189" s="111">
        <v>460</v>
      </c>
      <c r="E189" s="111">
        <v>44</v>
      </c>
      <c r="F189" s="111">
        <v>0</v>
      </c>
    </row>
    <row r="190" spans="1:6">
      <c r="A190" s="231" t="s">
        <v>2</v>
      </c>
      <c r="B190" s="111">
        <v>0</v>
      </c>
      <c r="C190" s="111">
        <v>240</v>
      </c>
      <c r="D190" s="111">
        <v>288</v>
      </c>
      <c r="E190" s="111">
        <v>241</v>
      </c>
      <c r="F190" s="111">
        <v>600</v>
      </c>
    </row>
    <row r="191" spans="1:6">
      <c r="A191" s="231" t="s">
        <v>3</v>
      </c>
      <c r="B191" s="111">
        <v>0</v>
      </c>
      <c r="C191" s="111">
        <v>0</v>
      </c>
      <c r="D191" s="111">
        <v>0</v>
      </c>
      <c r="E191" s="111">
        <v>0</v>
      </c>
      <c r="F191" s="111">
        <v>0</v>
      </c>
    </row>
    <row r="192" spans="1:6">
      <c r="A192" s="231" t="s">
        <v>4</v>
      </c>
      <c r="B192" s="111">
        <v>0</v>
      </c>
      <c r="C192" s="111">
        <v>101830</v>
      </c>
      <c r="D192" s="111">
        <v>0</v>
      </c>
      <c r="E192" s="111">
        <v>0</v>
      </c>
      <c r="F192" s="111">
        <v>0</v>
      </c>
    </row>
    <row r="193" spans="1:7">
      <c r="A193" s="231" t="s">
        <v>5</v>
      </c>
      <c r="B193" s="111">
        <v>0</v>
      </c>
      <c r="C193" s="111">
        <v>6</v>
      </c>
      <c r="D193" s="111">
        <v>0</v>
      </c>
      <c r="E193" s="111">
        <v>0</v>
      </c>
      <c r="F193" s="111">
        <v>0</v>
      </c>
    </row>
    <row r="194" spans="1:7">
      <c r="A194" s="231" t="s">
        <v>389</v>
      </c>
      <c r="B194" s="111">
        <v>0</v>
      </c>
      <c r="C194" s="111">
        <v>46756</v>
      </c>
      <c r="D194" s="111">
        <v>248569</v>
      </c>
      <c r="E194" s="111">
        <v>266001</v>
      </c>
      <c r="F194" s="111">
        <v>287981</v>
      </c>
    </row>
    <row r="195" spans="1:7">
      <c r="A195" s="231" t="s">
        <v>390</v>
      </c>
      <c r="B195" s="111">
        <v>0</v>
      </c>
      <c r="C195" s="111">
        <v>-137266</v>
      </c>
      <c r="D195" s="111">
        <v>-159213</v>
      </c>
      <c r="E195" s="111">
        <v>-153293</v>
      </c>
      <c r="F195" s="111">
        <v>-131698</v>
      </c>
    </row>
    <row r="196" spans="1:7">
      <c r="A196" s="233" t="s">
        <v>139</v>
      </c>
      <c r="B196" s="111"/>
      <c r="C196" s="111">
        <v>0</v>
      </c>
      <c r="D196" s="111">
        <v>0</v>
      </c>
      <c r="E196" s="111">
        <v>0</v>
      </c>
      <c r="F196" s="111">
        <v>0</v>
      </c>
    </row>
    <row r="200" spans="1:7">
      <c r="A200" s="229" t="s">
        <v>391</v>
      </c>
      <c r="B200" s="111" t="s">
        <v>53</v>
      </c>
      <c r="C200" s="111"/>
      <c r="D200" s="111" t="s">
        <v>256</v>
      </c>
      <c r="E200" s="111"/>
      <c r="F200" s="111"/>
      <c r="G200" s="11" t="s">
        <v>435</v>
      </c>
    </row>
    <row r="201" spans="1:7">
      <c r="A201" s="229" t="s">
        <v>130</v>
      </c>
      <c r="B201" s="111">
        <v>16025</v>
      </c>
      <c r="C201" s="111"/>
      <c r="D201" s="111"/>
      <c r="E201" s="111"/>
      <c r="F201" s="111"/>
    </row>
    <row r="202" spans="1:7">
      <c r="A202" s="230" t="s">
        <v>74</v>
      </c>
      <c r="B202" s="254"/>
      <c r="C202" s="254"/>
      <c r="D202" s="254">
        <v>35794</v>
      </c>
      <c r="E202" s="254">
        <v>36159</v>
      </c>
      <c r="F202" s="254">
        <v>36524</v>
      </c>
    </row>
    <row r="203" spans="1:7">
      <c r="A203" s="231" t="s">
        <v>54</v>
      </c>
      <c r="B203" s="111"/>
      <c r="C203" s="111"/>
      <c r="D203" s="111">
        <v>40003</v>
      </c>
      <c r="E203" s="111">
        <v>91784</v>
      </c>
      <c r="F203" s="111">
        <v>238945</v>
      </c>
    </row>
    <row r="204" spans="1:7">
      <c r="A204" s="231" t="s">
        <v>55</v>
      </c>
      <c r="B204" s="111"/>
      <c r="C204" s="111"/>
      <c r="D204" s="111">
        <v>-32536</v>
      </c>
      <c r="E204" s="111">
        <v>-70953</v>
      </c>
      <c r="F204" s="111">
        <v>-211077</v>
      </c>
    </row>
    <row r="205" spans="1:7">
      <c r="A205" s="231" t="s">
        <v>56</v>
      </c>
      <c r="B205" s="111"/>
      <c r="C205" s="111"/>
      <c r="D205" s="111">
        <v>0</v>
      </c>
      <c r="E205" s="111">
        <v>0</v>
      </c>
      <c r="F205" s="111">
        <v>0</v>
      </c>
    </row>
    <row r="206" spans="1:7">
      <c r="A206" s="231" t="s">
        <v>174</v>
      </c>
      <c r="B206" s="111"/>
      <c r="C206" s="111"/>
      <c r="D206" s="111">
        <v>-15225</v>
      </c>
      <c r="E206" s="111">
        <v>-19494</v>
      </c>
      <c r="F206" s="111">
        <v>-37084</v>
      </c>
    </row>
    <row r="207" spans="1:7">
      <c r="A207" s="231" t="s">
        <v>175</v>
      </c>
      <c r="B207" s="111"/>
      <c r="C207" s="111"/>
      <c r="D207" s="111">
        <v>-5809</v>
      </c>
      <c r="E207" s="111">
        <v>-5391</v>
      </c>
      <c r="F207" s="111">
        <v>-3171</v>
      </c>
    </row>
    <row r="208" spans="1:7">
      <c r="A208" s="231" t="s">
        <v>176</v>
      </c>
      <c r="B208" s="111"/>
      <c r="C208" s="111"/>
      <c r="D208" s="111">
        <v>-729</v>
      </c>
      <c r="E208" s="111">
        <v>-465</v>
      </c>
      <c r="F208" s="111">
        <v>-76</v>
      </c>
    </row>
    <row r="209" spans="1:6">
      <c r="A209" s="231" t="s">
        <v>177</v>
      </c>
      <c r="B209" s="111"/>
      <c r="C209" s="111"/>
      <c r="D209" s="111">
        <v>490</v>
      </c>
      <c r="E209" s="111">
        <v>-41</v>
      </c>
      <c r="F209" s="111">
        <v>576</v>
      </c>
    </row>
    <row r="210" spans="1:6">
      <c r="A210" s="231" t="s">
        <v>162</v>
      </c>
      <c r="B210" s="111"/>
      <c r="C210" s="111"/>
      <c r="D210" s="111">
        <v>0</v>
      </c>
      <c r="E210" s="111">
        <v>0</v>
      </c>
      <c r="F210" s="111">
        <v>0</v>
      </c>
    </row>
    <row r="211" spans="1:6">
      <c r="A211" s="231" t="s">
        <v>163</v>
      </c>
      <c r="B211" s="111"/>
      <c r="C211" s="111"/>
      <c r="D211" s="111">
        <v>0</v>
      </c>
      <c r="E211" s="111">
        <v>0</v>
      </c>
      <c r="F211" s="111">
        <v>0</v>
      </c>
    </row>
    <row r="212" spans="1:6">
      <c r="A212" s="231" t="s">
        <v>372</v>
      </c>
      <c r="B212" s="111"/>
      <c r="C212" s="111"/>
      <c r="D212" s="111">
        <v>0</v>
      </c>
      <c r="E212" s="111">
        <v>0</v>
      </c>
      <c r="F212" s="111">
        <v>0</v>
      </c>
    </row>
    <row r="213" spans="1:6">
      <c r="A213" s="231" t="s">
        <v>373</v>
      </c>
      <c r="B213" s="111"/>
      <c r="C213" s="111"/>
      <c r="D213" s="111">
        <v>0</v>
      </c>
      <c r="E213" s="111">
        <v>0</v>
      </c>
      <c r="F213" s="111">
        <v>0</v>
      </c>
    </row>
    <row r="214" spans="1:6">
      <c r="A214" s="231" t="s">
        <v>374</v>
      </c>
      <c r="B214" s="111"/>
      <c r="C214" s="111"/>
      <c r="D214" s="111">
        <v>0</v>
      </c>
      <c r="E214" s="111">
        <v>-7013</v>
      </c>
      <c r="F214" s="111">
        <v>-262</v>
      </c>
    </row>
    <row r="215" spans="1:6">
      <c r="A215" s="231" t="s">
        <v>366</v>
      </c>
      <c r="B215" s="111"/>
      <c r="C215" s="111"/>
      <c r="D215" s="111">
        <v>3729</v>
      </c>
      <c r="E215" s="111">
        <v>32662</v>
      </c>
      <c r="F215" s="111">
        <v>40346</v>
      </c>
    </row>
    <row r="216" spans="1:6">
      <c r="A216" s="231" t="s">
        <v>409</v>
      </c>
      <c r="B216" s="111"/>
      <c r="C216" s="111"/>
      <c r="D216" s="111">
        <v>1565</v>
      </c>
      <c r="E216" s="111">
        <v>6994</v>
      </c>
      <c r="F216" s="111">
        <v>10183</v>
      </c>
    </row>
    <row r="217" spans="1:6">
      <c r="A217" s="231" t="s">
        <v>410</v>
      </c>
      <c r="B217" s="111"/>
      <c r="C217" s="111"/>
      <c r="D217" s="111">
        <v>7586</v>
      </c>
      <c r="E217" s="111">
        <v>13954</v>
      </c>
      <c r="F217" s="111">
        <v>29926</v>
      </c>
    </row>
    <row r="218" spans="1:6">
      <c r="A218" s="231" t="s">
        <v>304</v>
      </c>
      <c r="B218" s="111"/>
      <c r="C218" s="111"/>
      <c r="D218" s="111">
        <v>476</v>
      </c>
      <c r="E218" s="111">
        <v>2333</v>
      </c>
      <c r="F218" s="111">
        <v>4583</v>
      </c>
    </row>
    <row r="219" spans="1:6">
      <c r="A219" s="231" t="s">
        <v>305</v>
      </c>
      <c r="B219" s="111"/>
      <c r="C219" s="111"/>
      <c r="D219" s="111">
        <v>5018</v>
      </c>
      <c r="E219" s="111">
        <v>4945</v>
      </c>
      <c r="F219" s="111">
        <v>9483</v>
      </c>
    </row>
    <row r="220" spans="1:6">
      <c r="A220" s="231" t="s">
        <v>306</v>
      </c>
      <c r="B220" s="111"/>
      <c r="C220" s="111"/>
      <c r="D220" s="111">
        <v>0</v>
      </c>
      <c r="E220" s="111">
        <v>0</v>
      </c>
      <c r="F220" s="111">
        <v>0</v>
      </c>
    </row>
    <row r="221" spans="1:6">
      <c r="A221" s="231" t="s">
        <v>307</v>
      </c>
      <c r="B221" s="111"/>
      <c r="C221" s="111"/>
      <c r="D221" s="111">
        <v>0</v>
      </c>
      <c r="E221" s="111">
        <v>2784</v>
      </c>
      <c r="F221" s="111">
        <v>2784</v>
      </c>
    </row>
    <row r="222" spans="1:6">
      <c r="A222" s="231" t="s">
        <v>178</v>
      </c>
      <c r="B222" s="111"/>
      <c r="C222" s="111"/>
      <c r="D222" s="111">
        <v>3340</v>
      </c>
      <c r="E222" s="111">
        <v>284</v>
      </c>
      <c r="F222" s="111">
        <v>427</v>
      </c>
    </row>
    <row r="223" spans="1:6">
      <c r="A223" s="231" t="s">
        <v>186</v>
      </c>
      <c r="B223" s="111"/>
      <c r="C223" s="111"/>
      <c r="D223" s="111">
        <v>4512</v>
      </c>
      <c r="E223" s="111">
        <v>124</v>
      </c>
      <c r="F223" s="111">
        <v>75</v>
      </c>
    </row>
    <row r="224" spans="1:6">
      <c r="A224" s="231" t="s">
        <v>287</v>
      </c>
      <c r="B224" s="111"/>
      <c r="C224" s="111"/>
      <c r="D224" s="111">
        <v>3680</v>
      </c>
      <c r="E224" s="111">
        <v>13731</v>
      </c>
      <c r="F224" s="111">
        <v>30363</v>
      </c>
    </row>
    <row r="225" spans="1:7">
      <c r="A225" s="231" t="s">
        <v>91</v>
      </c>
      <c r="B225" s="111"/>
      <c r="C225" s="111"/>
      <c r="D225" s="111">
        <v>0</v>
      </c>
      <c r="E225" s="111">
        <v>0</v>
      </c>
      <c r="F225" s="111">
        <v>0</v>
      </c>
    </row>
    <row r="226" spans="1:7">
      <c r="A226" s="231" t="s">
        <v>490</v>
      </c>
      <c r="B226" s="111"/>
      <c r="C226" s="111"/>
      <c r="D226" s="111">
        <v>2093</v>
      </c>
      <c r="E226" s="111">
        <v>6409</v>
      </c>
      <c r="F226" s="111">
        <v>9316</v>
      </c>
    </row>
    <row r="227" spans="1:7">
      <c r="A227" s="231" t="s">
        <v>1</v>
      </c>
      <c r="B227" s="111"/>
      <c r="C227" s="111"/>
      <c r="D227" s="111">
        <v>165</v>
      </c>
      <c r="E227" s="111">
        <v>58</v>
      </c>
      <c r="F227" s="111">
        <v>86</v>
      </c>
    </row>
    <row r="228" spans="1:7">
      <c r="A228" s="231" t="s">
        <v>2</v>
      </c>
      <c r="B228" s="111"/>
      <c r="C228" s="111"/>
      <c r="D228" s="111">
        <v>0</v>
      </c>
      <c r="E228" s="111">
        <v>0</v>
      </c>
      <c r="F228" s="111">
        <v>0</v>
      </c>
    </row>
    <row r="229" spans="1:7">
      <c r="A229" s="231" t="s">
        <v>3</v>
      </c>
      <c r="B229" s="111"/>
      <c r="C229" s="111"/>
      <c r="D229" s="111">
        <v>0</v>
      </c>
      <c r="E229" s="111">
        <v>0</v>
      </c>
      <c r="F229" s="111">
        <v>0</v>
      </c>
    </row>
    <row r="230" spans="1:7">
      <c r="A230" s="231" t="s">
        <v>4</v>
      </c>
      <c r="B230" s="111"/>
      <c r="C230" s="111"/>
      <c r="D230" s="111">
        <v>5284</v>
      </c>
      <c r="E230" s="111">
        <v>0</v>
      </c>
      <c r="F230" s="111">
        <v>0</v>
      </c>
    </row>
    <row r="231" spans="1:7">
      <c r="A231" s="231" t="s">
        <v>5</v>
      </c>
      <c r="B231" s="111"/>
      <c r="C231" s="111"/>
      <c r="D231" s="111">
        <v>0</v>
      </c>
      <c r="E231" s="111">
        <v>4363</v>
      </c>
      <c r="F231" s="111">
        <v>2978</v>
      </c>
    </row>
    <row r="232" spans="1:7">
      <c r="A232" s="231" t="s">
        <v>389</v>
      </c>
      <c r="B232" s="111"/>
      <c r="C232" s="111"/>
      <c r="D232" s="111">
        <v>50073</v>
      </c>
      <c r="E232" s="111">
        <v>94937</v>
      </c>
      <c r="F232" s="111">
        <v>122729</v>
      </c>
    </row>
    <row r="233" spans="1:7">
      <c r="A233" s="231" t="s">
        <v>390</v>
      </c>
      <c r="B233" s="111"/>
      <c r="C233" s="111"/>
      <c r="D233" s="111">
        <v>-44093</v>
      </c>
      <c r="E233" s="111">
        <v>-55666</v>
      </c>
      <c r="F233" s="111">
        <v>-67815</v>
      </c>
    </row>
    <row r="234" spans="1:7">
      <c r="A234" s="302" t="s">
        <v>139</v>
      </c>
      <c r="B234" s="111"/>
      <c r="C234" s="111"/>
      <c r="D234" s="111">
        <v>0</v>
      </c>
      <c r="E234" s="111">
        <v>7013</v>
      </c>
      <c r="F234" s="111">
        <v>262</v>
      </c>
    </row>
    <row r="238" spans="1:7">
      <c r="A238" s="229" t="s">
        <v>391</v>
      </c>
      <c r="B238" s="111" t="s">
        <v>113</v>
      </c>
      <c r="C238" s="111"/>
      <c r="D238" s="111" t="s">
        <v>561</v>
      </c>
      <c r="E238" s="111"/>
      <c r="F238" s="111"/>
      <c r="G238" s="11" t="s">
        <v>435</v>
      </c>
    </row>
    <row r="239" spans="1:7">
      <c r="A239" s="229" t="s">
        <v>52</v>
      </c>
      <c r="B239" s="111">
        <v>168591</v>
      </c>
      <c r="C239" s="111"/>
      <c r="D239" s="111"/>
      <c r="E239" s="111"/>
      <c r="F239" s="111"/>
    </row>
    <row r="240" spans="1:7">
      <c r="A240" s="230" t="s">
        <v>74</v>
      </c>
      <c r="B240" s="254">
        <v>33237</v>
      </c>
      <c r="C240" s="254">
        <v>33602</v>
      </c>
      <c r="D240" s="254">
        <v>33968</v>
      </c>
      <c r="E240" s="254">
        <v>34333</v>
      </c>
      <c r="F240" s="254">
        <v>34698</v>
      </c>
    </row>
    <row r="241" spans="1:6">
      <c r="A241" s="231" t="s">
        <v>54</v>
      </c>
      <c r="B241" s="111">
        <v>1171423</v>
      </c>
      <c r="C241" s="111">
        <v>1183952</v>
      </c>
      <c r="D241" s="111">
        <v>1357325</v>
      </c>
      <c r="E241" s="111">
        <v>1939007</v>
      </c>
      <c r="F241" s="111">
        <v>2636291</v>
      </c>
    </row>
    <row r="242" spans="1:6">
      <c r="A242" s="231" t="s">
        <v>55</v>
      </c>
      <c r="B242" s="111">
        <v>-728760</v>
      </c>
      <c r="C242" s="111">
        <v>-742467</v>
      </c>
      <c r="D242" s="111">
        <v>-854478</v>
      </c>
      <c r="E242" s="111">
        <v>-1219268</v>
      </c>
      <c r="F242" s="111">
        <v>-1593728</v>
      </c>
    </row>
    <row r="243" spans="1:6">
      <c r="A243" s="231" t="s">
        <v>56</v>
      </c>
      <c r="B243" s="111">
        <v>0</v>
      </c>
      <c r="C243" s="111">
        <v>0</v>
      </c>
      <c r="D243" s="111">
        <v>0</v>
      </c>
      <c r="E243" s="111">
        <v>0</v>
      </c>
      <c r="F243" s="111">
        <v>0</v>
      </c>
    </row>
    <row r="244" spans="1:6">
      <c r="A244" s="231" t="s">
        <v>174</v>
      </c>
      <c r="B244" s="111">
        <v>-179051</v>
      </c>
      <c r="C244" s="111">
        <v>-177481</v>
      </c>
      <c r="D244" s="111">
        <v>-194629</v>
      </c>
      <c r="E244" s="111">
        <v>-272368</v>
      </c>
      <c r="F244" s="111">
        <v>-359214</v>
      </c>
    </row>
    <row r="245" spans="1:6">
      <c r="A245" s="231" t="s">
        <v>175</v>
      </c>
      <c r="B245" s="111">
        <v>-77892</v>
      </c>
      <c r="C245" s="111">
        <v>-80071</v>
      </c>
      <c r="D245" s="111">
        <v>-91185</v>
      </c>
      <c r="E245" s="111">
        <v>-143816</v>
      </c>
      <c r="F245" s="111">
        <v>-194614</v>
      </c>
    </row>
    <row r="246" spans="1:6">
      <c r="A246" s="231" t="s">
        <v>176</v>
      </c>
      <c r="B246" s="111">
        <v>-43349</v>
      </c>
      <c r="C246" s="111">
        <v>-54844</v>
      </c>
      <c r="D246" s="111">
        <v>-76540</v>
      </c>
      <c r="E246" s="111">
        <v>-128531</v>
      </c>
      <c r="F246" s="111">
        <v>-167869</v>
      </c>
    </row>
    <row r="247" spans="1:6">
      <c r="A247" s="231" t="s">
        <v>177</v>
      </c>
      <c r="B247" s="111">
        <v>-46</v>
      </c>
      <c r="C247" s="111">
        <v>19869</v>
      </c>
      <c r="D247" s="111">
        <v>10373</v>
      </c>
      <c r="E247" s="111">
        <v>7661</v>
      </c>
      <c r="F247" s="111">
        <v>9904</v>
      </c>
    </row>
    <row r="248" spans="1:6">
      <c r="A248" s="231" t="s">
        <v>162</v>
      </c>
      <c r="B248" s="111">
        <v>0</v>
      </c>
      <c r="C248" s="111">
        <v>0</v>
      </c>
      <c r="D248" s="111">
        <v>0</v>
      </c>
      <c r="E248" s="111">
        <v>0</v>
      </c>
      <c r="F248" s="111">
        <v>0</v>
      </c>
    </row>
    <row r="249" spans="1:6">
      <c r="A249" s="231" t="s">
        <v>163</v>
      </c>
      <c r="B249" s="111">
        <v>0</v>
      </c>
      <c r="C249" s="111">
        <v>0</v>
      </c>
      <c r="D249" s="111">
        <v>0</v>
      </c>
      <c r="E249" s="111">
        <v>0</v>
      </c>
      <c r="F249" s="111">
        <v>0</v>
      </c>
    </row>
    <row r="250" spans="1:6">
      <c r="A250" s="231" t="s">
        <v>372</v>
      </c>
      <c r="B250" s="111">
        <v>0</v>
      </c>
      <c r="C250" s="111">
        <v>0</v>
      </c>
      <c r="D250" s="111">
        <v>0</v>
      </c>
      <c r="E250" s="111">
        <v>0</v>
      </c>
      <c r="F250" s="111">
        <v>0</v>
      </c>
    </row>
    <row r="251" spans="1:6">
      <c r="A251" s="231" t="s">
        <v>373</v>
      </c>
      <c r="B251" s="111">
        <v>-5.7</v>
      </c>
      <c r="C251" s="111">
        <v>0</v>
      </c>
      <c r="D251" s="111">
        <v>0</v>
      </c>
      <c r="E251" s="111">
        <v>-7558</v>
      </c>
      <c r="F251" s="111">
        <v>0</v>
      </c>
    </row>
    <row r="252" spans="1:6">
      <c r="A252" s="231" t="s">
        <v>374</v>
      </c>
      <c r="B252" s="111">
        <v>0</v>
      </c>
      <c r="C252" s="111">
        <v>0</v>
      </c>
      <c r="D252" s="111">
        <v>0</v>
      </c>
      <c r="E252" s="111">
        <v>0</v>
      </c>
      <c r="F252" s="111">
        <v>0</v>
      </c>
    </row>
    <row r="253" spans="1:6">
      <c r="A253" s="231" t="s">
        <v>366</v>
      </c>
      <c r="B253" s="111">
        <v>23920</v>
      </c>
      <c r="C253" s="111">
        <v>31256</v>
      </c>
      <c r="D253" s="111">
        <v>40419</v>
      </c>
      <c r="E253" s="111">
        <v>110793</v>
      </c>
      <c r="F253" s="111">
        <v>172921</v>
      </c>
    </row>
    <row r="254" spans="1:6">
      <c r="A254" s="231" t="s">
        <v>409</v>
      </c>
      <c r="B254" s="111">
        <v>9424</v>
      </c>
      <c r="C254" s="111">
        <v>12171</v>
      </c>
      <c r="D254" s="111">
        <v>15535</v>
      </c>
      <c r="E254" s="111">
        <v>22628</v>
      </c>
      <c r="F254" s="111">
        <v>36532</v>
      </c>
    </row>
    <row r="255" spans="1:6">
      <c r="A255" s="231" t="s">
        <v>410</v>
      </c>
      <c r="B255" s="111">
        <v>13555</v>
      </c>
      <c r="C255" s="111">
        <v>16830</v>
      </c>
      <c r="D255" s="111">
        <v>22665</v>
      </c>
      <c r="E255" s="111">
        <v>37274</v>
      </c>
      <c r="F255" s="111">
        <v>31834</v>
      </c>
    </row>
    <row r="256" spans="1:6">
      <c r="A256" s="231" t="s">
        <v>304</v>
      </c>
      <c r="B256" s="111">
        <v>71233</v>
      </c>
      <c r="C256" s="111">
        <v>27563</v>
      </c>
      <c r="D256" s="111">
        <v>33745</v>
      </c>
      <c r="E256" s="111">
        <v>40450</v>
      </c>
      <c r="F256" s="111">
        <v>45044</v>
      </c>
    </row>
    <row r="257" spans="1:6">
      <c r="A257" s="231" t="s">
        <v>305</v>
      </c>
      <c r="B257" s="111">
        <v>1384814</v>
      </c>
      <c r="C257" s="111">
        <v>1758446</v>
      </c>
      <c r="D257" s="111">
        <v>2378934</v>
      </c>
      <c r="E257" s="111">
        <v>4785291</v>
      </c>
      <c r="F257" s="111">
        <v>5073008</v>
      </c>
    </row>
    <row r="258" spans="1:6">
      <c r="A258" s="231" t="s">
        <v>306</v>
      </c>
      <c r="B258" s="111">
        <v>0</v>
      </c>
      <c r="C258" s="111">
        <v>0</v>
      </c>
      <c r="D258" s="111">
        <v>0</v>
      </c>
      <c r="E258" s="111">
        <v>0</v>
      </c>
      <c r="F258" s="111">
        <v>0</v>
      </c>
    </row>
    <row r="259" spans="1:6">
      <c r="A259" s="231" t="s">
        <v>307</v>
      </c>
      <c r="B259" s="111">
        <v>351456</v>
      </c>
      <c r="C259" s="111">
        <v>341041</v>
      </c>
      <c r="D259" s="111">
        <v>330628</v>
      </c>
      <c r="E259" s="111">
        <v>320214</v>
      </c>
      <c r="F259" s="111">
        <v>309801</v>
      </c>
    </row>
    <row r="260" spans="1:6">
      <c r="A260" s="231" t="s">
        <v>178</v>
      </c>
      <c r="B260" s="111">
        <v>10602</v>
      </c>
      <c r="C260" s="111">
        <v>15936</v>
      </c>
      <c r="D260" s="111">
        <v>20373</v>
      </c>
      <c r="E260" s="111">
        <v>23098</v>
      </c>
      <c r="F260" s="111">
        <v>16936</v>
      </c>
    </row>
    <row r="261" spans="1:6">
      <c r="A261" s="231" t="s">
        <v>186</v>
      </c>
      <c r="B261" s="111">
        <v>0</v>
      </c>
      <c r="C261" s="111">
        <v>6234</v>
      </c>
      <c r="D261" s="111">
        <v>13061</v>
      </c>
      <c r="E261" s="111">
        <v>141013</v>
      </c>
      <c r="F261" s="111">
        <v>127919</v>
      </c>
    </row>
    <row r="262" spans="1:6">
      <c r="A262" s="231" t="s">
        <v>287</v>
      </c>
      <c r="B262" s="111">
        <v>63181</v>
      </c>
      <c r="C262" s="111">
        <v>71528</v>
      </c>
      <c r="D262" s="111">
        <v>69091</v>
      </c>
      <c r="E262" s="111">
        <v>108474</v>
      </c>
      <c r="F262" s="111">
        <v>115833</v>
      </c>
    </row>
    <row r="263" spans="1:6">
      <c r="A263" s="231" t="s">
        <v>91</v>
      </c>
      <c r="B263" s="111">
        <v>0</v>
      </c>
      <c r="C263" s="111">
        <v>0</v>
      </c>
      <c r="D263" s="111">
        <v>0</v>
      </c>
      <c r="E263" s="111">
        <v>0</v>
      </c>
      <c r="F263" s="111">
        <v>0</v>
      </c>
    </row>
    <row r="264" spans="1:6">
      <c r="A264" s="231" t="s">
        <v>490</v>
      </c>
      <c r="B264" s="111">
        <v>209094</v>
      </c>
      <c r="C264" s="111">
        <v>230935</v>
      </c>
      <c r="D264" s="111">
        <v>321307</v>
      </c>
      <c r="E264" s="111">
        <v>639857</v>
      </c>
      <c r="F264" s="111">
        <v>646403</v>
      </c>
    </row>
    <row r="265" spans="1:6">
      <c r="A265" s="231" t="s">
        <v>1</v>
      </c>
      <c r="B265" s="111">
        <v>747107</v>
      </c>
      <c r="C265" s="111">
        <v>929458</v>
      </c>
      <c r="D265" s="111">
        <v>1353906</v>
      </c>
      <c r="E265" s="111">
        <v>2431683</v>
      </c>
      <c r="F265" s="111">
        <v>2341163</v>
      </c>
    </row>
    <row r="266" spans="1:6">
      <c r="A266" s="231" t="s">
        <v>2</v>
      </c>
      <c r="B266" s="111">
        <v>0</v>
      </c>
      <c r="C266" s="111">
        <v>0</v>
      </c>
      <c r="D266" s="111">
        <v>0</v>
      </c>
      <c r="E266" s="111">
        <v>0</v>
      </c>
      <c r="F266" s="111">
        <v>0</v>
      </c>
    </row>
    <row r="267" spans="1:6">
      <c r="A267" s="231" t="s">
        <v>3</v>
      </c>
      <c r="B267" s="111">
        <v>0</v>
      </c>
      <c r="C267" s="111">
        <v>0</v>
      </c>
      <c r="D267" s="111">
        <v>0</v>
      </c>
      <c r="E267" s="111">
        <v>0</v>
      </c>
      <c r="F267" s="111">
        <v>0</v>
      </c>
    </row>
    <row r="268" spans="1:6">
      <c r="A268" s="231" t="s">
        <v>4</v>
      </c>
      <c r="B268" s="111">
        <v>0</v>
      </c>
      <c r="C268" s="111">
        <v>0</v>
      </c>
      <c r="D268" s="111">
        <v>0</v>
      </c>
      <c r="E268" s="111">
        <v>0</v>
      </c>
      <c r="F268" s="111">
        <v>0</v>
      </c>
    </row>
    <row r="269" spans="1:6">
      <c r="A269" s="231" t="s">
        <v>5</v>
      </c>
      <c r="B269" s="111">
        <v>0</v>
      </c>
      <c r="C269" s="111">
        <v>0</v>
      </c>
      <c r="D269" s="111">
        <v>0</v>
      </c>
      <c r="E269" s="111">
        <v>172500</v>
      </c>
      <c r="F269" s="111">
        <v>172500</v>
      </c>
    </row>
    <row r="270" spans="1:6">
      <c r="A270" s="231" t="s">
        <v>389</v>
      </c>
      <c r="B270" s="111">
        <v>545061</v>
      </c>
      <c r="C270" s="111">
        <v>546058</v>
      </c>
      <c r="D270" s="111">
        <v>549422</v>
      </c>
      <c r="E270" s="111">
        <v>1185566</v>
      </c>
      <c r="F270" s="111">
        <v>1358567</v>
      </c>
    </row>
    <row r="271" spans="1:6">
      <c r="A271" s="231" t="s">
        <v>390</v>
      </c>
      <c r="B271" s="111">
        <v>300561</v>
      </c>
      <c r="C271" s="111">
        <v>419030</v>
      </c>
      <c r="D271" s="111">
        <v>535512</v>
      </c>
      <c r="E271" s="111">
        <v>660655</v>
      </c>
      <c r="F271" s="111">
        <v>923691</v>
      </c>
    </row>
    <row r="272" spans="1:6">
      <c r="A272" s="233" t="s">
        <v>139</v>
      </c>
      <c r="B272" s="111"/>
      <c r="C272" s="111">
        <v>30489</v>
      </c>
      <c r="D272" s="111">
        <v>34384</v>
      </c>
      <c r="E272" s="111">
        <v>49984</v>
      </c>
      <c r="F272" s="111">
        <v>67734</v>
      </c>
    </row>
    <row r="276" spans="1:7">
      <c r="A276" s="229" t="s">
        <v>391</v>
      </c>
      <c r="B276" s="111" t="s">
        <v>83</v>
      </c>
      <c r="C276" s="111"/>
      <c r="D276" s="111" t="s">
        <v>495</v>
      </c>
      <c r="E276" s="111"/>
      <c r="F276" s="111"/>
      <c r="G276" s="11" t="s">
        <v>435</v>
      </c>
    </row>
    <row r="277" spans="1:7">
      <c r="A277" s="229" t="s">
        <v>130</v>
      </c>
      <c r="B277" s="111">
        <v>595448</v>
      </c>
      <c r="C277" s="111"/>
      <c r="D277" s="111"/>
      <c r="E277" s="111"/>
      <c r="F277" s="111"/>
    </row>
    <row r="278" spans="1:7">
      <c r="A278" s="230" t="s">
        <v>74</v>
      </c>
      <c r="B278" s="254">
        <v>33206</v>
      </c>
      <c r="C278" s="254">
        <v>33571</v>
      </c>
      <c r="D278" s="254">
        <v>33937</v>
      </c>
      <c r="E278" s="254">
        <v>34302</v>
      </c>
      <c r="F278" s="254">
        <v>34667</v>
      </c>
    </row>
    <row r="279" spans="1:7">
      <c r="A279" s="231" t="s">
        <v>54</v>
      </c>
      <c r="B279" s="111">
        <v>1806016</v>
      </c>
      <c r="C279" s="111">
        <v>1998150</v>
      </c>
      <c r="D279" s="111">
        <v>2212572</v>
      </c>
      <c r="E279" s="111">
        <v>2447468</v>
      </c>
      <c r="F279" s="111">
        <v>3009306</v>
      </c>
    </row>
    <row r="280" spans="1:7">
      <c r="A280" s="231" t="s">
        <v>55</v>
      </c>
      <c r="B280" s="111">
        <v>-1028475</v>
      </c>
      <c r="C280" s="111">
        <v>-1131113</v>
      </c>
      <c r="D280" s="111">
        <v>-1241269</v>
      </c>
      <c r="E280" s="111">
        <v>-1322669</v>
      </c>
      <c r="F280" s="111">
        <v>-1619377</v>
      </c>
    </row>
    <row r="281" spans="1:7">
      <c r="A281" s="231" t="s">
        <v>56</v>
      </c>
      <c r="B281" s="111">
        <v>0</v>
      </c>
      <c r="C281" s="111">
        <v>0</v>
      </c>
      <c r="D281" s="111">
        <v>0</v>
      </c>
      <c r="E281" s="111">
        <v>0</v>
      </c>
      <c r="F281" s="111">
        <v>0</v>
      </c>
    </row>
    <row r="282" spans="1:7">
      <c r="A282" s="231" t="s">
        <v>174</v>
      </c>
      <c r="B282" s="111">
        <v>-223272</v>
      </c>
      <c r="C282" s="111">
        <v>-248566</v>
      </c>
      <c r="D282" s="111">
        <v>-274855</v>
      </c>
      <c r="E282" s="111">
        <v>-296533</v>
      </c>
      <c r="F282" s="111">
        <v>-369469</v>
      </c>
    </row>
    <row r="283" spans="1:7">
      <c r="A283" s="231" t="s">
        <v>175</v>
      </c>
      <c r="B283" s="111">
        <v>-110595</v>
      </c>
      <c r="C283" s="111">
        <v>-128433</v>
      </c>
      <c r="D283" s="111">
        <v>-144987</v>
      </c>
      <c r="E283" s="111">
        <v>-167287</v>
      </c>
      <c r="F283" s="111">
        <v>-200668</v>
      </c>
    </row>
    <row r="284" spans="1:7">
      <c r="A284" s="231" t="s">
        <v>176</v>
      </c>
      <c r="B284" s="111">
        <v>-51378</v>
      </c>
      <c r="C284" s="111">
        <v>-63080</v>
      </c>
      <c r="D284" s="111">
        <v>-64092</v>
      </c>
      <c r="E284" s="111">
        <v>-55898</v>
      </c>
      <c r="F284" s="111">
        <v>-57772</v>
      </c>
    </row>
    <row r="285" spans="1:7">
      <c r="A285" s="231" t="s">
        <v>177</v>
      </c>
      <c r="B285" s="111">
        <v>-478</v>
      </c>
      <c r="C285" s="111">
        <v>33507</v>
      </c>
      <c r="D285" s="111">
        <v>87978</v>
      </c>
      <c r="E285" s="111">
        <v>67202</v>
      </c>
      <c r="F285" s="111">
        <v>88782</v>
      </c>
    </row>
    <row r="286" spans="1:7">
      <c r="A286" s="231" t="s">
        <v>162</v>
      </c>
      <c r="B286" s="111">
        <v>10053</v>
      </c>
      <c r="C286" s="111">
        <v>-9374</v>
      </c>
      <c r="D286" s="111">
        <v>-9045</v>
      </c>
      <c r="E286" s="111">
        <v>-6233</v>
      </c>
      <c r="F286" s="111">
        <v>-3815</v>
      </c>
    </row>
    <row r="287" spans="1:7">
      <c r="A287" s="231" t="s">
        <v>163</v>
      </c>
      <c r="B287" s="111">
        <v>0</v>
      </c>
      <c r="C287" s="111">
        <v>0</v>
      </c>
      <c r="D287" s="111">
        <v>0</v>
      </c>
      <c r="E287" s="111">
        <v>0</v>
      </c>
      <c r="F287" s="111">
        <v>-11102</v>
      </c>
    </row>
    <row r="288" spans="1:7">
      <c r="A288" s="231" t="s">
        <v>372</v>
      </c>
      <c r="B288" s="111">
        <v>0</v>
      </c>
      <c r="C288" s="111">
        <v>0</v>
      </c>
      <c r="D288" s="111">
        <v>0</v>
      </c>
      <c r="E288" s="111">
        <v>0</v>
      </c>
      <c r="F288" s="111">
        <v>0</v>
      </c>
    </row>
    <row r="289" spans="1:6">
      <c r="A289" s="231" t="s">
        <v>373</v>
      </c>
      <c r="B289" s="111">
        <v>0</v>
      </c>
      <c r="C289" s="111">
        <v>0</v>
      </c>
      <c r="D289" s="111">
        <v>0</v>
      </c>
      <c r="E289" s="111">
        <v>0</v>
      </c>
      <c r="F289" s="111">
        <v>0</v>
      </c>
    </row>
    <row r="290" spans="1:6">
      <c r="A290" s="231" t="s">
        <v>374</v>
      </c>
      <c r="B290" s="111">
        <v>0</v>
      </c>
      <c r="C290" s="111">
        <v>0</v>
      </c>
      <c r="D290" s="111">
        <v>0</v>
      </c>
      <c r="E290" s="111">
        <v>0</v>
      </c>
      <c r="F290" s="111">
        <v>0</v>
      </c>
    </row>
    <row r="291" spans="1:6">
      <c r="A291" s="231" t="s">
        <v>366</v>
      </c>
      <c r="B291" s="111">
        <v>124220</v>
      </c>
      <c r="C291" s="111">
        <v>103760</v>
      </c>
      <c r="D291" s="111">
        <v>124115</v>
      </c>
      <c r="E291" s="111">
        <v>149727</v>
      </c>
      <c r="F291" s="111">
        <v>143229</v>
      </c>
    </row>
    <row r="292" spans="1:6">
      <c r="A292" s="231" t="s">
        <v>409</v>
      </c>
      <c r="B292" s="111">
        <v>20789</v>
      </c>
      <c r="C292" s="111">
        <v>33080</v>
      </c>
      <c r="D292" s="111">
        <v>38109</v>
      </c>
      <c r="E292" s="111">
        <v>57090</v>
      </c>
      <c r="F292" s="111">
        <v>60837</v>
      </c>
    </row>
    <row r="293" spans="1:6">
      <c r="A293" s="231" t="s">
        <v>410</v>
      </c>
      <c r="B293" s="111">
        <v>45122</v>
      </c>
      <c r="C293" s="111">
        <v>48820</v>
      </c>
      <c r="D293" s="111">
        <v>53281</v>
      </c>
      <c r="E293" s="111">
        <v>54970</v>
      </c>
      <c r="F293" s="111">
        <v>75449</v>
      </c>
    </row>
    <row r="294" spans="1:6">
      <c r="A294" s="231" t="s">
        <v>304</v>
      </c>
      <c r="B294" s="111">
        <v>50318</v>
      </c>
      <c r="C294" s="111">
        <v>70718</v>
      </c>
      <c r="D294" s="111">
        <v>75428</v>
      </c>
      <c r="E294" s="111">
        <v>74238</v>
      </c>
      <c r="F294" s="111">
        <v>90764</v>
      </c>
    </row>
    <row r="295" spans="1:6">
      <c r="A295" s="231" t="s">
        <v>305</v>
      </c>
      <c r="B295" s="111">
        <v>3071431</v>
      </c>
      <c r="C295" s="111">
        <v>3414823</v>
      </c>
      <c r="D295" s="111">
        <v>4099038</v>
      </c>
      <c r="E295" s="111">
        <v>4327413</v>
      </c>
      <c r="F295" s="111">
        <v>5768114</v>
      </c>
    </row>
    <row r="296" spans="1:6">
      <c r="A296" s="231" t="s">
        <v>306</v>
      </c>
      <c r="B296" s="111">
        <v>47514</v>
      </c>
      <c r="C296" s="111">
        <v>51794</v>
      </c>
      <c r="D296" s="111">
        <v>430330</v>
      </c>
      <c r="E296" s="111">
        <v>479329</v>
      </c>
      <c r="F296" s="111">
        <v>546693</v>
      </c>
    </row>
    <row r="297" spans="1:6">
      <c r="A297" s="231" t="s">
        <v>307</v>
      </c>
      <c r="B297" s="111">
        <v>233553</v>
      </c>
      <c r="C297" s="111">
        <v>226571</v>
      </c>
      <c r="D297" s="111">
        <v>219589</v>
      </c>
      <c r="E297" s="111">
        <v>212607</v>
      </c>
      <c r="F297" s="111">
        <v>437464</v>
      </c>
    </row>
    <row r="298" spans="1:6">
      <c r="A298" s="231" t="s">
        <v>178</v>
      </c>
      <c r="B298" s="111">
        <v>76876</v>
      </c>
      <c r="C298" s="111">
        <v>155921</v>
      </c>
      <c r="D298" s="111">
        <v>61998</v>
      </c>
      <c r="E298" s="111">
        <v>71401</v>
      </c>
      <c r="F298" s="111">
        <v>56773</v>
      </c>
    </row>
    <row r="299" spans="1:6">
      <c r="A299" s="231" t="s">
        <v>186</v>
      </c>
      <c r="B299" s="111">
        <v>84644</v>
      </c>
      <c r="C299" s="111">
        <v>72752</v>
      </c>
      <c r="D299" s="111">
        <v>66369</v>
      </c>
      <c r="E299" s="111">
        <v>59620</v>
      </c>
      <c r="F299" s="111">
        <v>67626</v>
      </c>
    </row>
    <row r="300" spans="1:6">
      <c r="A300" s="231" t="s">
        <v>287</v>
      </c>
      <c r="B300" s="111">
        <v>86750</v>
      </c>
      <c r="C300" s="111">
        <v>90237</v>
      </c>
      <c r="D300" s="111">
        <v>84748</v>
      </c>
      <c r="E300" s="111">
        <v>106783</v>
      </c>
      <c r="F300" s="111">
        <v>168546</v>
      </c>
    </row>
    <row r="301" spans="1:6">
      <c r="A301" s="231" t="s">
        <v>91</v>
      </c>
      <c r="B301" s="111">
        <v>0</v>
      </c>
      <c r="C301" s="111">
        <v>0</v>
      </c>
      <c r="D301" s="111">
        <v>0</v>
      </c>
      <c r="E301" s="111">
        <v>0</v>
      </c>
      <c r="F301" s="111">
        <v>0</v>
      </c>
    </row>
    <row r="302" spans="1:6">
      <c r="A302" s="231" t="s">
        <v>490</v>
      </c>
      <c r="B302" s="111">
        <v>393563</v>
      </c>
      <c r="C302" s="111">
        <v>431721</v>
      </c>
      <c r="D302" s="111">
        <v>511625</v>
      </c>
      <c r="E302" s="111">
        <v>619739</v>
      </c>
      <c r="F302" s="111">
        <v>898941</v>
      </c>
    </row>
    <row r="303" spans="1:6">
      <c r="A303" s="231" t="s">
        <v>1</v>
      </c>
      <c r="B303" s="111">
        <v>1046904</v>
      </c>
      <c r="C303" s="111">
        <v>1035031</v>
      </c>
      <c r="D303" s="111">
        <v>1277529</v>
      </c>
      <c r="E303" s="111">
        <v>1015294</v>
      </c>
      <c r="F303" s="111">
        <v>1563014</v>
      </c>
    </row>
    <row r="304" spans="1:6">
      <c r="A304" s="231" t="s">
        <v>2</v>
      </c>
      <c r="B304" s="111">
        <v>129028</v>
      </c>
      <c r="C304" s="111">
        <v>130873</v>
      </c>
      <c r="D304" s="111">
        <v>39103</v>
      </c>
      <c r="E304" s="111">
        <v>0</v>
      </c>
      <c r="F304" s="111">
        <v>0</v>
      </c>
    </row>
    <row r="305" spans="1:7">
      <c r="A305" s="231" t="s">
        <v>3</v>
      </c>
      <c r="B305" s="111">
        <v>0</v>
      </c>
      <c r="C305" s="111">
        <v>0</v>
      </c>
      <c r="D305" s="111">
        <v>91630</v>
      </c>
      <c r="E305" s="111">
        <v>20241</v>
      </c>
      <c r="F305" s="111">
        <v>63036</v>
      </c>
    </row>
    <row r="306" spans="1:7">
      <c r="A306" s="231" t="s">
        <v>4</v>
      </c>
      <c r="B306" s="111">
        <v>0</v>
      </c>
      <c r="C306" s="111">
        <v>0</v>
      </c>
      <c r="D306" s="111">
        <v>0</v>
      </c>
      <c r="E306" s="111">
        <v>0</v>
      </c>
      <c r="F306" s="111">
        <v>132684</v>
      </c>
    </row>
    <row r="307" spans="1:7">
      <c r="A307" s="231" t="s">
        <v>5</v>
      </c>
      <c r="B307" s="111">
        <v>0</v>
      </c>
      <c r="C307" s="111">
        <v>0</v>
      </c>
      <c r="D307" s="111">
        <v>0</v>
      </c>
      <c r="E307" s="111">
        <v>0</v>
      </c>
      <c r="F307" s="111">
        <v>0</v>
      </c>
    </row>
    <row r="308" spans="1:7">
      <c r="A308" s="231" t="s">
        <v>389</v>
      </c>
      <c r="B308" s="111">
        <v>538345</v>
      </c>
      <c r="C308" s="111">
        <v>592733</v>
      </c>
      <c r="D308" s="111">
        <v>823103</v>
      </c>
      <c r="E308" s="111">
        <v>873885</v>
      </c>
      <c r="F308" s="111">
        <v>905848</v>
      </c>
    </row>
    <row r="309" spans="1:7">
      <c r="A309" s="231" t="s">
        <v>390</v>
      </c>
      <c r="B309" s="111">
        <v>1390589</v>
      </c>
      <c r="C309" s="111">
        <v>1752140</v>
      </c>
      <c r="D309" s="111">
        <v>2207781</v>
      </c>
      <c r="E309" s="111">
        <v>2731213</v>
      </c>
      <c r="F309" s="111">
        <v>3379628</v>
      </c>
    </row>
    <row r="310" spans="1:7">
      <c r="A310" s="302" t="s">
        <v>139</v>
      </c>
      <c r="B310" s="111"/>
      <c r="C310" s="111">
        <v>85098</v>
      </c>
      <c r="D310" s="111">
        <v>103877</v>
      </c>
      <c r="E310" s="111">
        <v>130456</v>
      </c>
      <c r="F310" s="111">
        <v>178458</v>
      </c>
    </row>
    <row r="314" spans="1:7">
      <c r="A314" s="229" t="s">
        <v>391</v>
      </c>
      <c r="B314" s="111" t="s">
        <v>427</v>
      </c>
      <c r="C314" s="111"/>
      <c r="D314" s="111" t="s">
        <v>428</v>
      </c>
      <c r="E314" s="111"/>
      <c r="F314" s="111"/>
      <c r="G314" s="11" t="s">
        <v>435</v>
      </c>
    </row>
    <row r="315" spans="1:7">
      <c r="A315" s="229" t="s">
        <v>130</v>
      </c>
      <c r="B315" s="111">
        <v>11352</v>
      </c>
      <c r="C315" s="111"/>
      <c r="D315" s="111"/>
      <c r="E315" s="111"/>
      <c r="F315" s="111"/>
    </row>
    <row r="316" spans="1:7">
      <c r="A316" s="230" t="s">
        <v>74</v>
      </c>
      <c r="B316" s="254">
        <v>33783</v>
      </c>
      <c r="C316" s="254">
        <v>34148</v>
      </c>
      <c r="D316" s="254">
        <v>34512</v>
      </c>
      <c r="E316" s="254">
        <v>34875</v>
      </c>
      <c r="F316" s="254">
        <v>35246</v>
      </c>
    </row>
    <row r="317" spans="1:7">
      <c r="A317" s="231" t="s">
        <v>54</v>
      </c>
      <c r="B317" s="111">
        <v>99202</v>
      </c>
      <c r="C317" s="111">
        <v>182806</v>
      </c>
      <c r="D317" s="111">
        <v>305599</v>
      </c>
      <c r="E317" s="111">
        <v>506116</v>
      </c>
      <c r="F317" s="111">
        <v>837302</v>
      </c>
    </row>
    <row r="318" spans="1:7">
      <c r="A318" s="231" t="s">
        <v>55</v>
      </c>
      <c r="B318" s="111">
        <v>-72780</v>
      </c>
      <c r="C318" s="111">
        <v>-129399</v>
      </c>
      <c r="D318" s="111">
        <v>-191703</v>
      </c>
      <c r="E318" s="111">
        <v>-307147</v>
      </c>
      <c r="F318" s="111">
        <v>-504889</v>
      </c>
    </row>
    <row r="319" spans="1:7">
      <c r="A319" s="231" t="s">
        <v>56</v>
      </c>
      <c r="B319" s="111">
        <v>0</v>
      </c>
      <c r="C319" s="111">
        <v>0</v>
      </c>
      <c r="D319" s="111">
        <v>0</v>
      </c>
      <c r="E319" s="111">
        <v>0</v>
      </c>
      <c r="F319" s="111">
        <v>0</v>
      </c>
    </row>
    <row r="320" spans="1:7">
      <c r="A320" s="231" t="s">
        <v>174</v>
      </c>
      <c r="B320" s="111">
        <v>-21343</v>
      </c>
      <c r="C320" s="111">
        <v>-42944</v>
      </c>
      <c r="D320" s="111">
        <v>-84216</v>
      </c>
      <c r="E320" s="111">
        <v>-129588</v>
      </c>
      <c r="F320" s="111">
        <v>-156749</v>
      </c>
    </row>
    <row r="321" spans="1:6">
      <c r="A321" s="231" t="s">
        <v>175</v>
      </c>
      <c r="B321" s="111">
        <v>0</v>
      </c>
      <c r="C321" s="111">
        <v>0</v>
      </c>
      <c r="D321" s="111">
        <v>0</v>
      </c>
      <c r="E321" s="111">
        <v>0</v>
      </c>
      <c r="F321" s="111">
        <v>0</v>
      </c>
    </row>
    <row r="322" spans="1:6">
      <c r="A322" s="231" t="s">
        <v>176</v>
      </c>
      <c r="B322" s="111">
        <v>-3934</v>
      </c>
      <c r="C322" s="111">
        <v>-4063</v>
      </c>
      <c r="D322" s="111">
        <v>-5333</v>
      </c>
      <c r="E322" s="111">
        <v>-15518</v>
      </c>
      <c r="F322" s="111">
        <v>-28761</v>
      </c>
    </row>
    <row r="323" spans="1:6">
      <c r="A323" s="231" t="s">
        <v>177</v>
      </c>
      <c r="B323" s="111">
        <v>0</v>
      </c>
      <c r="C323" s="111">
        <v>0</v>
      </c>
      <c r="D323" s="111">
        <v>7839</v>
      </c>
      <c r="E323" s="111">
        <v>0</v>
      </c>
      <c r="F323" s="111">
        <v>0</v>
      </c>
    </row>
    <row r="324" spans="1:6">
      <c r="A324" s="231" t="s">
        <v>162</v>
      </c>
      <c r="B324" s="111">
        <v>3450</v>
      </c>
      <c r="C324" s="111">
        <v>-2001</v>
      </c>
      <c r="D324" s="111">
        <v>-12205</v>
      </c>
      <c r="E324" s="111">
        <v>-19320</v>
      </c>
      <c r="F324" s="111">
        <v>-55087</v>
      </c>
    </row>
    <row r="325" spans="1:6">
      <c r="A325" s="231" t="s">
        <v>163</v>
      </c>
      <c r="B325" s="111">
        <v>0</v>
      </c>
      <c r="C325" s="111">
        <v>0</v>
      </c>
      <c r="D325" s="111">
        <v>0</v>
      </c>
      <c r="E325" s="111">
        <v>0</v>
      </c>
      <c r="F325" s="111">
        <v>0</v>
      </c>
    </row>
    <row r="326" spans="1:6">
      <c r="A326" s="231" t="s">
        <v>372</v>
      </c>
      <c r="B326" s="111">
        <v>0</v>
      </c>
      <c r="C326" s="111">
        <v>0</v>
      </c>
      <c r="D326" s="111">
        <v>0</v>
      </c>
      <c r="E326" s="111">
        <v>0</v>
      </c>
      <c r="F326" s="111">
        <v>0</v>
      </c>
    </row>
    <row r="327" spans="1:6">
      <c r="A327" s="231" t="s">
        <v>373</v>
      </c>
      <c r="B327" s="111">
        <v>0</v>
      </c>
      <c r="C327" s="111">
        <v>0</v>
      </c>
      <c r="D327" s="111">
        <v>0</v>
      </c>
      <c r="E327" s="111">
        <v>0</v>
      </c>
      <c r="F327" s="111">
        <v>0</v>
      </c>
    </row>
    <row r="328" spans="1:6">
      <c r="A328" s="231" t="s">
        <v>374</v>
      </c>
      <c r="B328" s="111">
        <v>0</v>
      </c>
      <c r="C328" s="111">
        <v>0</v>
      </c>
      <c r="D328" s="111">
        <v>0</v>
      </c>
      <c r="E328" s="111">
        <v>0</v>
      </c>
      <c r="F328" s="111">
        <v>0</v>
      </c>
    </row>
    <row r="329" spans="1:6">
      <c r="A329" s="231" t="s">
        <v>366</v>
      </c>
      <c r="B329" s="111">
        <v>4</v>
      </c>
      <c r="C329" s="111">
        <v>2613</v>
      </c>
      <c r="D329" s="111">
        <v>661</v>
      </c>
      <c r="E329" s="111">
        <v>11240</v>
      </c>
      <c r="F329" s="111">
        <v>7606</v>
      </c>
    </row>
    <row r="330" spans="1:6">
      <c r="A330" s="231" t="s">
        <v>409</v>
      </c>
      <c r="B330" s="111">
        <v>15871</v>
      </c>
      <c r="C330" s="111">
        <v>25647</v>
      </c>
      <c r="D330" s="111">
        <v>43225</v>
      </c>
      <c r="E330" s="111">
        <v>96179</v>
      </c>
      <c r="F330" s="111">
        <v>129850</v>
      </c>
    </row>
    <row r="331" spans="1:6">
      <c r="A331" s="231" t="s">
        <v>410</v>
      </c>
      <c r="B331" s="111">
        <v>28288</v>
      </c>
      <c r="C331" s="111">
        <v>41968</v>
      </c>
      <c r="D331" s="111">
        <v>76506</v>
      </c>
      <c r="E331" s="111">
        <v>144124</v>
      </c>
      <c r="F331" s="111">
        <v>219230</v>
      </c>
    </row>
    <row r="332" spans="1:6">
      <c r="A332" s="231" t="s">
        <v>304</v>
      </c>
      <c r="B332" s="111">
        <v>3883</v>
      </c>
      <c r="C332" s="111">
        <v>6556</v>
      </c>
      <c r="D332" s="111">
        <v>7545</v>
      </c>
      <c r="E332" s="111">
        <v>9484</v>
      </c>
      <c r="F332" s="111">
        <v>13859</v>
      </c>
    </row>
    <row r="333" spans="1:6">
      <c r="A333" s="231" t="s">
        <v>305</v>
      </c>
      <c r="B333" s="111">
        <v>6232</v>
      </c>
      <c r="C333" s="111">
        <v>8316</v>
      </c>
      <c r="D333" s="111">
        <v>8315</v>
      </c>
      <c r="E333" s="111">
        <v>24651</v>
      </c>
      <c r="F333" s="111">
        <v>34643</v>
      </c>
    </row>
    <row r="334" spans="1:6">
      <c r="A334" s="231" t="s">
        <v>306</v>
      </c>
      <c r="B334" s="111">
        <v>0</v>
      </c>
      <c r="C334" s="111">
        <v>12157</v>
      </c>
      <c r="D334" s="111">
        <v>0</v>
      </c>
      <c r="E334" s="111">
        <v>0</v>
      </c>
      <c r="F334" s="111">
        <v>0</v>
      </c>
    </row>
    <row r="335" spans="1:6">
      <c r="A335" s="231" t="s">
        <v>307</v>
      </c>
      <c r="B335" s="111">
        <v>3671</v>
      </c>
      <c r="C335" s="111">
        <v>4880</v>
      </c>
      <c r="D335" s="111">
        <v>5145</v>
      </c>
      <c r="E335" s="111">
        <v>42638</v>
      </c>
      <c r="F335" s="111">
        <v>159088</v>
      </c>
    </row>
    <row r="336" spans="1:6">
      <c r="A336" s="231" t="s">
        <v>178</v>
      </c>
      <c r="B336" s="111">
        <v>1532</v>
      </c>
      <c r="C336" s="111">
        <v>206</v>
      </c>
      <c r="D336" s="111">
        <v>0</v>
      </c>
      <c r="E336" s="111">
        <v>0</v>
      </c>
      <c r="F336" s="111">
        <v>0</v>
      </c>
    </row>
    <row r="337" spans="1:7">
      <c r="A337" s="231" t="s">
        <v>186</v>
      </c>
      <c r="B337" s="111">
        <v>24512</v>
      </c>
      <c r="C337" s="111">
        <v>38477</v>
      </c>
      <c r="D337" s="111">
        <v>50475</v>
      </c>
      <c r="E337" s="111">
        <v>32229</v>
      </c>
      <c r="F337" s="111">
        <v>112155</v>
      </c>
    </row>
    <row r="338" spans="1:7">
      <c r="A338" s="231" t="s">
        <v>287</v>
      </c>
      <c r="B338" s="111">
        <v>10057</v>
      </c>
      <c r="C338" s="111">
        <v>17361</v>
      </c>
      <c r="D338" s="111">
        <v>18960</v>
      </c>
      <c r="E338" s="111">
        <v>40997</v>
      </c>
      <c r="F338" s="111">
        <v>35113</v>
      </c>
    </row>
    <row r="339" spans="1:7">
      <c r="A339" s="231" t="s">
        <v>91</v>
      </c>
      <c r="B339" s="111">
        <v>0</v>
      </c>
      <c r="C339" s="111">
        <v>0</v>
      </c>
      <c r="D339" s="111">
        <v>6499</v>
      </c>
      <c r="E339" s="111">
        <v>0</v>
      </c>
      <c r="F339" s="111">
        <v>4578</v>
      </c>
    </row>
    <row r="340" spans="1:7">
      <c r="A340" s="231" t="s">
        <v>490</v>
      </c>
      <c r="B340" s="111">
        <v>1233</v>
      </c>
      <c r="C340" s="111">
        <v>2950</v>
      </c>
      <c r="D340" s="111">
        <v>7235</v>
      </c>
      <c r="E340" s="111">
        <v>21865</v>
      </c>
      <c r="F340" s="111">
        <v>21028</v>
      </c>
    </row>
    <row r="341" spans="1:7">
      <c r="A341" s="231" t="s">
        <v>1</v>
      </c>
      <c r="B341" s="111">
        <v>3754</v>
      </c>
      <c r="C341" s="111">
        <v>4933</v>
      </c>
      <c r="D341" s="111">
        <v>0</v>
      </c>
      <c r="E341" s="111">
        <v>182329</v>
      </c>
      <c r="F341" s="111">
        <v>215065</v>
      </c>
    </row>
    <row r="342" spans="1:7">
      <c r="A342" s="231" t="s">
        <v>2</v>
      </c>
      <c r="B342" s="111">
        <v>0</v>
      </c>
      <c r="C342" s="111">
        <v>0</v>
      </c>
      <c r="D342" s="111">
        <v>0</v>
      </c>
      <c r="E342" s="111">
        <v>0</v>
      </c>
      <c r="F342" s="111">
        <v>0</v>
      </c>
    </row>
    <row r="343" spans="1:7">
      <c r="A343" s="231" t="s">
        <v>3</v>
      </c>
      <c r="B343" s="111">
        <v>0</v>
      </c>
      <c r="C343" s="111">
        <v>0</v>
      </c>
      <c r="D343" s="111">
        <v>517</v>
      </c>
      <c r="E343" s="111">
        <v>157</v>
      </c>
      <c r="F343" s="111">
        <v>2529</v>
      </c>
    </row>
    <row r="344" spans="1:7">
      <c r="A344" s="231" t="s">
        <v>4</v>
      </c>
      <c r="B344" s="111">
        <v>0</v>
      </c>
      <c r="C344" s="111">
        <v>0</v>
      </c>
      <c r="D344" s="111">
        <v>0</v>
      </c>
      <c r="E344" s="111">
        <v>0</v>
      </c>
      <c r="F344" s="111">
        <v>0</v>
      </c>
    </row>
    <row r="345" spans="1:7">
      <c r="A345" s="231" t="s">
        <v>5</v>
      </c>
      <c r="B345" s="111">
        <v>0</v>
      </c>
      <c r="C345" s="111">
        <v>0</v>
      </c>
      <c r="D345" s="111">
        <v>0</v>
      </c>
      <c r="E345" s="111">
        <v>0</v>
      </c>
      <c r="F345" s="111">
        <v>0</v>
      </c>
    </row>
    <row r="346" spans="1:7">
      <c r="A346" s="231" t="s">
        <v>389</v>
      </c>
      <c r="B346" s="111">
        <v>29358</v>
      </c>
      <c r="C346" s="111">
        <v>43656</v>
      </c>
      <c r="D346" s="111">
        <v>42764</v>
      </c>
      <c r="E346" s="111">
        <v>1249</v>
      </c>
      <c r="F346" s="111">
        <v>32502</v>
      </c>
    </row>
    <row r="347" spans="1:7">
      <c r="A347" s="231" t="s">
        <v>390</v>
      </c>
      <c r="B347" s="111">
        <v>-9433</v>
      </c>
      <c r="C347" s="111">
        <v>-5034</v>
      </c>
      <c r="D347" s="111">
        <v>14947</v>
      </c>
      <c r="E347" s="111">
        <v>49490</v>
      </c>
      <c r="F347" s="111">
        <v>141306</v>
      </c>
    </row>
    <row r="348" spans="1:7">
      <c r="A348" s="302" t="s">
        <v>139</v>
      </c>
      <c r="B348" s="111"/>
      <c r="C348" s="111">
        <v>0</v>
      </c>
      <c r="D348" s="111">
        <v>0</v>
      </c>
      <c r="E348" s="111">
        <v>0</v>
      </c>
      <c r="F348" s="111">
        <v>0</v>
      </c>
    </row>
    <row r="352" spans="1:7">
      <c r="A352" s="229" t="s">
        <v>391</v>
      </c>
      <c r="B352" s="111" t="s">
        <v>429</v>
      </c>
      <c r="C352" s="111"/>
      <c r="D352" s="111" t="s">
        <v>430</v>
      </c>
      <c r="E352" s="111"/>
      <c r="F352" s="111"/>
      <c r="G352" s="11" t="s">
        <v>435</v>
      </c>
    </row>
    <row r="353" spans="1:6">
      <c r="A353" s="229" t="s">
        <v>130</v>
      </c>
      <c r="B353" s="111">
        <v>23469</v>
      </c>
      <c r="C353" s="111"/>
      <c r="D353" s="111"/>
      <c r="E353" s="111"/>
      <c r="F353" s="111"/>
    </row>
    <row r="354" spans="1:6">
      <c r="A354" s="230" t="s">
        <v>74</v>
      </c>
      <c r="B354" s="254">
        <v>33327</v>
      </c>
      <c r="C354" s="254">
        <v>33690</v>
      </c>
      <c r="D354" s="254">
        <v>34061</v>
      </c>
      <c r="E354" s="254">
        <v>34425</v>
      </c>
      <c r="F354" s="254">
        <v>34789</v>
      </c>
    </row>
    <row r="355" spans="1:6">
      <c r="A355" s="231" t="s">
        <v>54</v>
      </c>
      <c r="B355" s="111">
        <v>564664</v>
      </c>
      <c r="C355" s="111">
        <v>657872</v>
      </c>
      <c r="D355" s="111">
        <v>752904</v>
      </c>
      <c r="E355" s="111">
        <v>852755</v>
      </c>
      <c r="F355" s="111">
        <v>1026721</v>
      </c>
    </row>
    <row r="356" spans="1:6">
      <c r="A356" s="231" t="s">
        <v>55</v>
      </c>
      <c r="B356" s="111">
        <v>-209122</v>
      </c>
      <c r="C356" s="111">
        <v>-247740</v>
      </c>
      <c r="D356" s="111">
        <v>-295557</v>
      </c>
      <c r="E356" s="111">
        <v>-341988</v>
      </c>
      <c r="F356" s="111">
        <v>-407124</v>
      </c>
    </row>
    <row r="357" spans="1:6">
      <c r="A357" s="231" t="s">
        <v>56</v>
      </c>
      <c r="B357" s="111">
        <v>0</v>
      </c>
      <c r="C357" s="111">
        <v>0</v>
      </c>
      <c r="D357" s="111">
        <v>0</v>
      </c>
      <c r="E357" s="111">
        <v>0</v>
      </c>
      <c r="F357" s="111">
        <v>0</v>
      </c>
    </row>
    <row r="358" spans="1:6">
      <c r="A358" s="231" t="s">
        <v>174</v>
      </c>
      <c r="B358" s="111">
        <v>-266600</v>
      </c>
      <c r="C358" s="111">
        <v>-297577</v>
      </c>
      <c r="D358" s="111">
        <v>-344399</v>
      </c>
      <c r="E358" s="111">
        <v>-403866</v>
      </c>
      <c r="F358" s="111">
        <v>-517066</v>
      </c>
    </row>
    <row r="359" spans="1:6">
      <c r="A359" s="231" t="s">
        <v>175</v>
      </c>
      <c r="B359" s="111">
        <v>-37913</v>
      </c>
      <c r="C359" s="111">
        <v>-43886</v>
      </c>
      <c r="D359" s="111">
        <v>-52572</v>
      </c>
      <c r="E359" s="111">
        <v>-70117</v>
      </c>
      <c r="F359" s="111">
        <v>-89221</v>
      </c>
    </row>
    <row r="360" spans="1:6">
      <c r="A360" s="231" t="s">
        <v>176</v>
      </c>
      <c r="B360" s="111">
        <v>-35908</v>
      </c>
      <c r="C360" s="111">
        <v>-28828</v>
      </c>
      <c r="D360" s="111">
        <v>-22022</v>
      </c>
      <c r="E360" s="111">
        <v>-35679</v>
      </c>
      <c r="F360" s="111">
        <v>-38628</v>
      </c>
    </row>
    <row r="361" spans="1:6">
      <c r="A361" s="231" t="s">
        <v>177</v>
      </c>
      <c r="B361" s="111">
        <v>9857</v>
      </c>
      <c r="C361" s="111">
        <v>6830</v>
      </c>
      <c r="D361" s="111">
        <v>-6459</v>
      </c>
      <c r="E361" s="111">
        <v>-42204</v>
      </c>
      <c r="F361" s="111">
        <v>-1198</v>
      </c>
    </row>
    <row r="362" spans="1:6">
      <c r="A362" s="231" t="s">
        <v>162</v>
      </c>
      <c r="B362" s="111">
        <v>9000</v>
      </c>
      <c r="C362" s="111">
        <v>-19300</v>
      </c>
      <c r="D362" s="111">
        <v>-12900</v>
      </c>
      <c r="E362" s="111">
        <v>16600</v>
      </c>
      <c r="F362" s="111">
        <v>10500</v>
      </c>
    </row>
    <row r="363" spans="1:6">
      <c r="A363" s="231" t="s">
        <v>163</v>
      </c>
      <c r="B363" s="111">
        <v>0</v>
      </c>
      <c r="C363" s="111">
        <v>0</v>
      </c>
      <c r="D363" s="111">
        <v>0</v>
      </c>
      <c r="E363" s="111">
        <v>0</v>
      </c>
      <c r="F363" s="111">
        <v>0</v>
      </c>
    </row>
    <row r="364" spans="1:6">
      <c r="A364" s="231" t="s">
        <v>372</v>
      </c>
      <c r="B364" s="111">
        <v>0</v>
      </c>
      <c r="C364" s="111">
        <v>0</v>
      </c>
      <c r="D364" s="111">
        <v>0</v>
      </c>
      <c r="E364" s="111">
        <v>0</v>
      </c>
      <c r="F364" s="111">
        <v>0</v>
      </c>
    </row>
    <row r="365" spans="1:6">
      <c r="A365" s="231" t="s">
        <v>373</v>
      </c>
      <c r="B365" s="111">
        <v>0</v>
      </c>
      <c r="C365" s="111">
        <v>-19350</v>
      </c>
      <c r="D365" s="111">
        <v>0</v>
      </c>
      <c r="E365" s="111">
        <v>0</v>
      </c>
      <c r="F365" s="111">
        <v>0</v>
      </c>
    </row>
    <row r="366" spans="1:6">
      <c r="A366" s="231" t="s">
        <v>374</v>
      </c>
      <c r="B366" s="111">
        <v>0</v>
      </c>
      <c r="C366" s="111">
        <v>0</v>
      </c>
      <c r="D366" s="111">
        <v>0</v>
      </c>
      <c r="E366" s="111">
        <v>0</v>
      </c>
      <c r="F366" s="111">
        <v>0</v>
      </c>
    </row>
    <row r="367" spans="1:6">
      <c r="A367" s="231" t="s">
        <v>366</v>
      </c>
      <c r="B367" s="111">
        <v>140377</v>
      </c>
      <c r="C367" s="111">
        <v>10795</v>
      </c>
      <c r="D367" s="111">
        <v>24715</v>
      </c>
      <c r="E367" s="111">
        <v>9881</v>
      </c>
      <c r="F367" s="111">
        <v>13239</v>
      </c>
    </row>
    <row r="368" spans="1:6">
      <c r="A368" s="231" t="s">
        <v>409</v>
      </c>
      <c r="B368" s="111">
        <v>8572</v>
      </c>
      <c r="C368" s="111">
        <v>20503</v>
      </c>
      <c r="D368" s="111">
        <v>9837</v>
      </c>
      <c r="E368" s="111">
        <v>13018</v>
      </c>
      <c r="F368" s="111">
        <v>18325</v>
      </c>
    </row>
    <row r="369" spans="1:6">
      <c r="A369" s="231" t="s">
        <v>410</v>
      </c>
      <c r="B369" s="111">
        <v>0</v>
      </c>
      <c r="C369" s="111">
        <v>0</v>
      </c>
      <c r="D369" s="111">
        <v>0</v>
      </c>
      <c r="E369" s="111">
        <v>0</v>
      </c>
      <c r="F369" s="111">
        <v>0</v>
      </c>
    </row>
    <row r="370" spans="1:6">
      <c r="A370" s="231" t="s">
        <v>304</v>
      </c>
      <c r="B370" s="111">
        <v>12069</v>
      </c>
      <c r="C370" s="111">
        <v>15179</v>
      </c>
      <c r="D370" s="111">
        <v>49962</v>
      </c>
      <c r="E370" s="111">
        <v>84224</v>
      </c>
      <c r="F370" s="111">
        <v>71024</v>
      </c>
    </row>
    <row r="371" spans="1:6">
      <c r="A371" s="231" t="s">
        <v>305</v>
      </c>
      <c r="B371" s="111">
        <v>279904</v>
      </c>
      <c r="C371" s="111">
        <v>355485</v>
      </c>
      <c r="D371" s="111">
        <v>543058</v>
      </c>
      <c r="E371" s="111">
        <v>562158</v>
      </c>
      <c r="F371" s="111">
        <v>726025</v>
      </c>
    </row>
    <row r="372" spans="1:6">
      <c r="A372" s="231" t="s">
        <v>306</v>
      </c>
      <c r="B372" s="111">
        <v>0</v>
      </c>
      <c r="C372" s="111">
        <v>0</v>
      </c>
      <c r="D372" s="111">
        <v>0</v>
      </c>
      <c r="E372" s="111">
        <v>0</v>
      </c>
      <c r="F372" s="111">
        <v>0</v>
      </c>
    </row>
    <row r="373" spans="1:6">
      <c r="A373" s="231" t="s">
        <v>307</v>
      </c>
      <c r="B373" s="111">
        <v>42926</v>
      </c>
      <c r="C373" s="111">
        <v>36483</v>
      </c>
      <c r="D373" s="111">
        <v>28679</v>
      </c>
      <c r="E373" s="111">
        <v>22066</v>
      </c>
      <c r="F373" s="111">
        <v>18723</v>
      </c>
    </row>
    <row r="374" spans="1:6">
      <c r="A374" s="231" t="s">
        <v>178</v>
      </c>
      <c r="B374" s="111">
        <v>38306</v>
      </c>
      <c r="C374" s="111">
        <v>45013</v>
      </c>
      <c r="D374" s="111">
        <v>62804</v>
      </c>
      <c r="E374" s="111">
        <v>104433</v>
      </c>
      <c r="F374" s="111">
        <v>128394</v>
      </c>
    </row>
    <row r="375" spans="1:6">
      <c r="A375" s="231" t="s">
        <v>186</v>
      </c>
      <c r="B375" s="111">
        <v>2516</v>
      </c>
      <c r="C375" s="111">
        <v>2904</v>
      </c>
      <c r="D375" s="111">
        <v>3441</v>
      </c>
      <c r="E375" s="111">
        <v>4017</v>
      </c>
      <c r="F375" s="111">
        <v>18017</v>
      </c>
    </row>
    <row r="376" spans="1:6">
      <c r="A376" s="231" t="s">
        <v>287</v>
      </c>
      <c r="B376" s="111">
        <v>29047</v>
      </c>
      <c r="C376" s="111">
        <v>64353</v>
      </c>
      <c r="D376" s="111">
        <v>61876</v>
      </c>
      <c r="E376" s="111">
        <v>72633</v>
      </c>
      <c r="F376" s="111">
        <v>69381</v>
      </c>
    </row>
    <row r="377" spans="1:6">
      <c r="A377" s="231" t="s">
        <v>91</v>
      </c>
      <c r="B377" s="111">
        <v>0</v>
      </c>
      <c r="C377" s="111">
        <v>0</v>
      </c>
      <c r="D377" s="111">
        <v>0</v>
      </c>
      <c r="E377" s="111">
        <v>0</v>
      </c>
      <c r="F377" s="111">
        <v>0</v>
      </c>
    </row>
    <row r="378" spans="1:6">
      <c r="A378" s="231" t="s">
        <v>490</v>
      </c>
      <c r="B378" s="111">
        <v>33794</v>
      </c>
      <c r="C378" s="111">
        <v>38319</v>
      </c>
      <c r="D378" s="111">
        <v>69792</v>
      </c>
      <c r="E378" s="111">
        <v>97186</v>
      </c>
      <c r="F378" s="111">
        <v>101658</v>
      </c>
    </row>
    <row r="379" spans="1:6">
      <c r="A379" s="231" t="s">
        <v>1</v>
      </c>
      <c r="B379" s="111">
        <v>264988</v>
      </c>
      <c r="C379" s="111">
        <v>185268</v>
      </c>
      <c r="D379" s="111">
        <v>370283</v>
      </c>
      <c r="E379" s="111">
        <v>399595</v>
      </c>
      <c r="F379" s="111">
        <v>591603</v>
      </c>
    </row>
    <row r="380" spans="1:6">
      <c r="A380" s="231" t="s">
        <v>2</v>
      </c>
      <c r="B380" s="111">
        <v>34421</v>
      </c>
      <c r="C380" s="111">
        <v>33696</v>
      </c>
      <c r="D380" s="111">
        <v>43651</v>
      </c>
      <c r="E380" s="111">
        <v>82894</v>
      </c>
      <c r="F380" s="111">
        <v>79606</v>
      </c>
    </row>
    <row r="381" spans="1:6">
      <c r="A381" s="231" t="s">
        <v>3</v>
      </c>
      <c r="B381" s="111">
        <v>0</v>
      </c>
      <c r="C381" s="111">
        <v>0</v>
      </c>
      <c r="D381" s="111">
        <v>0</v>
      </c>
      <c r="E381" s="111">
        <v>0</v>
      </c>
      <c r="F381" s="111">
        <v>0</v>
      </c>
    </row>
    <row r="382" spans="1:6">
      <c r="A382" s="231" t="s">
        <v>4</v>
      </c>
      <c r="B382" s="111">
        <v>0</v>
      </c>
      <c r="C382" s="111">
        <v>0</v>
      </c>
      <c r="D382" s="111">
        <v>0</v>
      </c>
      <c r="E382" s="111">
        <v>0</v>
      </c>
      <c r="F382" s="111">
        <v>0</v>
      </c>
    </row>
    <row r="383" spans="1:6">
      <c r="A383" s="231" t="s">
        <v>5</v>
      </c>
      <c r="B383" s="111">
        <v>2667</v>
      </c>
      <c r="C383" s="111">
        <v>2667</v>
      </c>
      <c r="D383" s="111">
        <v>2202</v>
      </c>
      <c r="E383" s="111">
        <v>1200</v>
      </c>
      <c r="F383" s="111">
        <v>0</v>
      </c>
    </row>
    <row r="384" spans="1:6">
      <c r="A384" s="231" t="s">
        <v>389</v>
      </c>
      <c r="B384" s="111">
        <v>118139</v>
      </c>
      <c r="C384" s="111">
        <v>118648</v>
      </c>
      <c r="D384" s="111">
        <v>117205</v>
      </c>
      <c r="E384" s="111">
        <v>117213</v>
      </c>
      <c r="F384" s="111">
        <v>110439</v>
      </c>
    </row>
    <row r="385" spans="1:7">
      <c r="A385" s="231" t="s">
        <v>390</v>
      </c>
      <c r="B385" s="111">
        <v>36582</v>
      </c>
      <c r="C385" s="111">
        <v>37603</v>
      </c>
      <c r="D385" s="111">
        <v>50605</v>
      </c>
      <c r="E385" s="111">
        <v>21042</v>
      </c>
      <c r="F385" s="111">
        <v>5026</v>
      </c>
    </row>
    <row r="386" spans="1:7">
      <c r="A386" s="302" t="s">
        <v>139</v>
      </c>
      <c r="B386" s="111"/>
      <c r="C386" s="111">
        <v>7000</v>
      </c>
      <c r="D386" s="111">
        <v>5993</v>
      </c>
      <c r="E386" s="111">
        <v>5064</v>
      </c>
      <c r="F386" s="111">
        <v>0</v>
      </c>
    </row>
    <row r="390" spans="1:7">
      <c r="A390" s="229" t="s">
        <v>391</v>
      </c>
      <c r="B390" s="111" t="s">
        <v>431</v>
      </c>
      <c r="C390" s="111"/>
      <c r="D390" s="111" t="s">
        <v>312</v>
      </c>
      <c r="E390" s="111"/>
      <c r="F390" s="111"/>
      <c r="G390" s="11" t="s">
        <v>435</v>
      </c>
    </row>
    <row r="391" spans="1:7">
      <c r="A391" s="229" t="s">
        <v>130</v>
      </c>
      <c r="B391" s="111">
        <v>11363</v>
      </c>
      <c r="C391" s="111"/>
      <c r="D391" s="111"/>
      <c r="E391" s="111"/>
      <c r="F391" s="111"/>
    </row>
    <row r="392" spans="1:7">
      <c r="A392" s="230" t="s">
        <v>74</v>
      </c>
      <c r="B392" s="254">
        <v>33237</v>
      </c>
      <c r="C392" s="254">
        <v>33602</v>
      </c>
      <c r="D392" s="254">
        <v>33968</v>
      </c>
      <c r="E392" s="254">
        <v>34333</v>
      </c>
      <c r="F392" s="254">
        <v>34698</v>
      </c>
    </row>
    <row r="393" spans="1:7">
      <c r="A393" s="231" t="s">
        <v>54</v>
      </c>
      <c r="B393" s="111">
        <v>327619</v>
      </c>
      <c r="C393" s="111">
        <v>364749</v>
      </c>
      <c r="D393" s="111">
        <v>426726</v>
      </c>
      <c r="E393" s="111">
        <v>458598</v>
      </c>
      <c r="F393" s="111">
        <v>481568</v>
      </c>
    </row>
    <row r="394" spans="1:7">
      <c r="A394" s="231" t="s">
        <v>55</v>
      </c>
      <c r="B394" s="111">
        <v>-126930</v>
      </c>
      <c r="C394" s="111">
        <v>-150613</v>
      </c>
      <c r="D394" s="111">
        <v>-174220</v>
      </c>
      <c r="E394" s="111">
        <v>-188006</v>
      </c>
      <c r="F394" s="111">
        <v>-197665</v>
      </c>
    </row>
    <row r="395" spans="1:7">
      <c r="A395" s="231" t="s">
        <v>56</v>
      </c>
      <c r="B395" s="111">
        <v>0</v>
      </c>
      <c r="C395" s="111">
        <v>0</v>
      </c>
      <c r="D395" s="111">
        <v>0</v>
      </c>
      <c r="E395" s="111">
        <v>0</v>
      </c>
      <c r="F395" s="111">
        <v>0</v>
      </c>
    </row>
    <row r="396" spans="1:7">
      <c r="A396" s="231" t="s">
        <v>174</v>
      </c>
      <c r="B396" s="111">
        <v>-132918</v>
      </c>
      <c r="C396" s="111">
        <v>-149164</v>
      </c>
      <c r="D396" s="111">
        <v>-170108</v>
      </c>
      <c r="E396" s="111">
        <v>-181455</v>
      </c>
      <c r="F396" s="111">
        <v>-194985</v>
      </c>
    </row>
    <row r="397" spans="1:7">
      <c r="A397" s="231" t="s">
        <v>175</v>
      </c>
      <c r="B397" s="111">
        <v>-22544</v>
      </c>
      <c r="C397" s="111">
        <v>-27216</v>
      </c>
      <c r="D397" s="111">
        <v>-28408</v>
      </c>
      <c r="E397" s="111">
        <v>-33443</v>
      </c>
      <c r="F397" s="111">
        <v>-37502</v>
      </c>
    </row>
    <row r="398" spans="1:7">
      <c r="A398" s="231" t="s">
        <v>176</v>
      </c>
      <c r="B398" s="111">
        <v>-17028</v>
      </c>
      <c r="C398" s="111">
        <v>-16031</v>
      </c>
      <c r="D398" s="111">
        <v>-20289</v>
      </c>
      <c r="E398" s="111">
        <v>-23142</v>
      </c>
      <c r="F398" s="111">
        <v>-27230</v>
      </c>
    </row>
    <row r="399" spans="1:7">
      <c r="A399" s="231" t="s">
        <v>177</v>
      </c>
      <c r="B399" s="111">
        <v>0</v>
      </c>
      <c r="C399" s="111">
        <v>0</v>
      </c>
      <c r="D399" s="111">
        <v>-45447</v>
      </c>
      <c r="E399" s="111">
        <v>0</v>
      </c>
      <c r="F399" s="111">
        <v>-72999</v>
      </c>
    </row>
    <row r="400" spans="1:7">
      <c r="A400" s="231" t="s">
        <v>162</v>
      </c>
      <c r="B400" s="111">
        <v>-11246</v>
      </c>
      <c r="C400" s="111">
        <v>-8638</v>
      </c>
      <c r="D400" s="111">
        <v>4469</v>
      </c>
      <c r="E400" s="111">
        <v>-12366</v>
      </c>
      <c r="F400" s="111">
        <v>18166</v>
      </c>
    </row>
    <row r="401" spans="1:6">
      <c r="A401" s="231" t="s">
        <v>163</v>
      </c>
      <c r="B401" s="111">
        <v>0</v>
      </c>
      <c r="C401" s="111">
        <v>0</v>
      </c>
      <c r="D401" s="111">
        <v>0</v>
      </c>
      <c r="E401" s="111">
        <v>0</v>
      </c>
      <c r="F401" s="111">
        <v>0</v>
      </c>
    </row>
    <row r="402" spans="1:6">
      <c r="A402" s="231" t="s">
        <v>372</v>
      </c>
      <c r="B402" s="111">
        <v>0</v>
      </c>
      <c r="C402" s="111">
        <v>0</v>
      </c>
      <c r="D402" s="111">
        <v>0</v>
      </c>
      <c r="E402" s="111">
        <v>0</v>
      </c>
      <c r="F402" s="111">
        <v>0</v>
      </c>
    </row>
    <row r="403" spans="1:6">
      <c r="A403" s="231" t="s">
        <v>373</v>
      </c>
      <c r="B403" s="111">
        <v>0</v>
      </c>
      <c r="C403" s="111">
        <v>0</v>
      </c>
      <c r="D403" s="111">
        <v>0</v>
      </c>
      <c r="E403" s="111">
        <v>0</v>
      </c>
      <c r="F403" s="111">
        <v>0</v>
      </c>
    </row>
    <row r="404" spans="1:6">
      <c r="A404" s="231" t="s">
        <v>374</v>
      </c>
      <c r="B404" s="111">
        <v>0</v>
      </c>
      <c r="C404" s="111">
        <v>0</v>
      </c>
      <c r="D404" s="111">
        <v>0</v>
      </c>
      <c r="E404" s="111">
        <v>0</v>
      </c>
      <c r="F404" s="111">
        <v>0</v>
      </c>
    </row>
    <row r="405" spans="1:6">
      <c r="A405" s="231" t="s">
        <v>366</v>
      </c>
      <c r="B405" s="111">
        <v>22687</v>
      </c>
      <c r="C405" s="111">
        <v>18847</v>
      </c>
      <c r="D405" s="111">
        <v>13295</v>
      </c>
      <c r="E405" s="111">
        <v>19587</v>
      </c>
      <c r="F405" s="111">
        <v>18572</v>
      </c>
    </row>
    <row r="406" spans="1:6">
      <c r="A406" s="231" t="s">
        <v>409</v>
      </c>
      <c r="B406" s="111">
        <v>3814</v>
      </c>
      <c r="C406" s="111">
        <v>12211</v>
      </c>
      <c r="D406" s="111">
        <v>4822</v>
      </c>
      <c r="E406" s="111">
        <v>758</v>
      </c>
      <c r="F406" s="111">
        <v>522</v>
      </c>
    </row>
    <row r="407" spans="1:6">
      <c r="A407" s="231" t="s">
        <v>410</v>
      </c>
      <c r="B407" s="111">
        <v>1939</v>
      </c>
      <c r="C407" s="111">
        <v>2936</v>
      </c>
      <c r="D407" s="111">
        <v>2631</v>
      </c>
      <c r="E407" s="111">
        <v>3082</v>
      </c>
      <c r="F407" s="111">
        <v>3851</v>
      </c>
    </row>
    <row r="408" spans="1:6">
      <c r="A408" s="231" t="s">
        <v>304</v>
      </c>
      <c r="B408" s="111">
        <v>5025</v>
      </c>
      <c r="C408" s="111">
        <v>5632</v>
      </c>
      <c r="D408" s="111">
        <v>5363</v>
      </c>
      <c r="E408" s="111">
        <v>7548</v>
      </c>
      <c r="F408" s="111">
        <v>5886</v>
      </c>
    </row>
    <row r="409" spans="1:6">
      <c r="A409" s="231" t="s">
        <v>305</v>
      </c>
      <c r="B409" s="111">
        <v>293971</v>
      </c>
      <c r="C409" s="111">
        <v>371851</v>
      </c>
      <c r="D409" s="111">
        <v>387915</v>
      </c>
      <c r="E409" s="111">
        <v>497056</v>
      </c>
      <c r="F409" s="111">
        <v>573612</v>
      </c>
    </row>
    <row r="410" spans="1:6">
      <c r="A410" s="231" t="s">
        <v>306</v>
      </c>
      <c r="B410" s="111">
        <v>4631</v>
      </c>
      <c r="C410" s="111">
        <v>4973</v>
      </c>
      <c r="D410" s="111">
        <v>10324</v>
      </c>
      <c r="E410" s="111">
        <v>14148</v>
      </c>
      <c r="F410" s="111">
        <v>20334</v>
      </c>
    </row>
    <row r="411" spans="1:6">
      <c r="A411" s="231" t="s">
        <v>307</v>
      </c>
      <c r="B411" s="111">
        <v>43156</v>
      </c>
      <c r="C411" s="111">
        <v>59231</v>
      </c>
      <c r="D411" s="111">
        <v>62608</v>
      </c>
      <c r="E411" s="111">
        <v>68149</v>
      </c>
      <c r="F411" s="111">
        <v>56954</v>
      </c>
    </row>
    <row r="412" spans="1:6">
      <c r="A412" s="231" t="s">
        <v>178</v>
      </c>
      <c r="B412" s="111">
        <v>2375</v>
      </c>
      <c r="C412" s="111">
        <v>2331</v>
      </c>
      <c r="D412" s="111">
        <v>2425</v>
      </c>
      <c r="E412" s="111">
        <v>9669</v>
      </c>
      <c r="F412" s="111">
        <v>17812</v>
      </c>
    </row>
    <row r="413" spans="1:6">
      <c r="A413" s="231" t="s">
        <v>186</v>
      </c>
      <c r="B413" s="111">
        <v>9352</v>
      </c>
      <c r="C413" s="111">
        <v>12205</v>
      </c>
      <c r="D413" s="111">
        <v>15026</v>
      </c>
      <c r="E413" s="111">
        <v>19077</v>
      </c>
      <c r="F413" s="111">
        <v>1290</v>
      </c>
    </row>
    <row r="414" spans="1:6">
      <c r="A414" s="231" t="s">
        <v>287</v>
      </c>
      <c r="B414" s="111">
        <v>23478</v>
      </c>
      <c r="C414" s="111">
        <v>24873</v>
      </c>
      <c r="D414" s="111">
        <v>21432</v>
      </c>
      <c r="E414" s="111">
        <v>26122</v>
      </c>
      <c r="F414" s="111">
        <v>45533</v>
      </c>
    </row>
    <row r="415" spans="1:6">
      <c r="A415" s="231" t="s">
        <v>91</v>
      </c>
      <c r="B415" s="111">
        <v>0</v>
      </c>
      <c r="C415" s="111">
        <v>0</v>
      </c>
      <c r="D415" s="111">
        <v>0</v>
      </c>
      <c r="E415" s="111">
        <v>0</v>
      </c>
      <c r="F415" s="111">
        <v>0</v>
      </c>
    </row>
    <row r="416" spans="1:6">
      <c r="A416" s="231" t="s">
        <v>490</v>
      </c>
      <c r="B416" s="111">
        <v>11327</v>
      </c>
      <c r="C416" s="111">
        <v>19102</v>
      </c>
      <c r="D416" s="111">
        <v>17240</v>
      </c>
      <c r="E416" s="111">
        <v>17833</v>
      </c>
      <c r="F416" s="111">
        <v>37842</v>
      </c>
    </row>
    <row r="417" spans="1:7">
      <c r="A417" s="231" t="s">
        <v>1</v>
      </c>
      <c r="B417" s="111">
        <v>143973</v>
      </c>
      <c r="C417" s="111">
        <v>218305</v>
      </c>
      <c r="D417" s="111">
        <v>253233</v>
      </c>
      <c r="E417" s="111">
        <v>341662</v>
      </c>
      <c r="F417" s="111">
        <v>350470</v>
      </c>
    </row>
    <row r="418" spans="1:7">
      <c r="A418" s="231" t="s">
        <v>2</v>
      </c>
      <c r="B418" s="111">
        <v>0</v>
      </c>
      <c r="C418" s="111">
        <v>0</v>
      </c>
      <c r="D418" s="111">
        <v>0</v>
      </c>
      <c r="E418" s="111">
        <v>0</v>
      </c>
      <c r="F418" s="111">
        <v>36099</v>
      </c>
    </row>
    <row r="419" spans="1:7">
      <c r="A419" s="231" t="s">
        <v>3</v>
      </c>
      <c r="B419" s="111">
        <v>17512</v>
      </c>
      <c r="C419" s="111">
        <v>18433</v>
      </c>
      <c r="D419" s="111">
        <v>4522</v>
      </c>
      <c r="E419" s="111">
        <v>12431</v>
      </c>
      <c r="F419" s="111">
        <v>0</v>
      </c>
    </row>
    <row r="420" spans="1:7">
      <c r="A420" s="231" t="s">
        <v>4</v>
      </c>
      <c r="B420" s="111">
        <v>0</v>
      </c>
      <c r="C420" s="111">
        <v>0</v>
      </c>
      <c r="D420" s="111">
        <v>0</v>
      </c>
      <c r="E420" s="111">
        <v>0</v>
      </c>
      <c r="F420" s="111">
        <v>0</v>
      </c>
    </row>
    <row r="421" spans="1:7">
      <c r="A421" s="231" t="s">
        <v>5</v>
      </c>
      <c r="B421" s="111">
        <v>0</v>
      </c>
      <c r="C421" s="111">
        <v>0</v>
      </c>
      <c r="D421" s="111">
        <v>0</v>
      </c>
      <c r="E421" s="111">
        <v>0</v>
      </c>
      <c r="F421" s="111">
        <v>550</v>
      </c>
    </row>
    <row r="422" spans="1:7">
      <c r="A422" s="231" t="s">
        <v>389</v>
      </c>
      <c r="B422" s="111">
        <v>100098</v>
      </c>
      <c r="C422" s="111">
        <v>100149</v>
      </c>
      <c r="D422" s="111">
        <v>100262</v>
      </c>
      <c r="E422" s="111">
        <v>105018</v>
      </c>
      <c r="F422" s="111">
        <v>158884</v>
      </c>
    </row>
    <row r="423" spans="1:7">
      <c r="A423" s="231" t="s">
        <v>390</v>
      </c>
      <c r="B423" s="111">
        <v>71858</v>
      </c>
      <c r="C423" s="111">
        <v>84945</v>
      </c>
      <c r="D423" s="111">
        <v>77668</v>
      </c>
      <c r="E423" s="111">
        <v>97854</v>
      </c>
      <c r="F423" s="111">
        <v>66875</v>
      </c>
    </row>
    <row r="424" spans="1:7">
      <c r="A424" s="302" t="s">
        <v>139</v>
      </c>
      <c r="B424" s="111"/>
      <c r="C424" s="111">
        <v>0</v>
      </c>
      <c r="D424" s="111">
        <v>0</v>
      </c>
      <c r="E424" s="111">
        <v>0</v>
      </c>
      <c r="F424" s="111">
        <v>0</v>
      </c>
    </row>
    <row r="428" spans="1:7">
      <c r="A428" s="229" t="s">
        <v>391</v>
      </c>
      <c r="B428" s="111" t="s">
        <v>117</v>
      </c>
      <c r="C428" s="111"/>
      <c r="D428" s="111" t="s">
        <v>118</v>
      </c>
      <c r="E428" s="111"/>
      <c r="F428" s="111"/>
      <c r="G428" s="11" t="s">
        <v>435</v>
      </c>
    </row>
    <row r="429" spans="1:7">
      <c r="A429" s="229" t="s">
        <v>130</v>
      </c>
      <c r="B429" s="111">
        <v>307000</v>
      </c>
      <c r="C429" s="111"/>
      <c r="D429" s="111"/>
      <c r="E429" s="111"/>
      <c r="F429" s="111"/>
    </row>
    <row r="430" spans="1:7">
      <c r="A430" s="230" t="s">
        <v>74</v>
      </c>
      <c r="B430" s="254">
        <v>37286</v>
      </c>
      <c r="C430" s="254">
        <v>37651</v>
      </c>
      <c r="D430" s="254">
        <v>38016</v>
      </c>
      <c r="E430" s="254">
        <v>38382</v>
      </c>
      <c r="F430" s="254">
        <v>38747</v>
      </c>
    </row>
    <row r="431" spans="1:7">
      <c r="A431" s="231" t="s">
        <v>54</v>
      </c>
      <c r="B431" s="111">
        <v>13402217</v>
      </c>
      <c r="C431" s="111">
        <v>15544184</v>
      </c>
      <c r="D431" s="111">
        <v>16473734</v>
      </c>
      <c r="E431" s="111">
        <v>16389000</v>
      </c>
      <c r="F431" s="111">
        <v>17178000</v>
      </c>
    </row>
    <row r="432" spans="1:7">
      <c r="A432" s="231" t="s">
        <v>55</v>
      </c>
      <c r="B432" s="111">
        <v>-8670484</v>
      </c>
      <c r="C432" s="111">
        <v>-9890513</v>
      </c>
      <c r="D432" s="111">
        <v>-10459549</v>
      </c>
      <c r="E432" s="111">
        <v>-10334000</v>
      </c>
      <c r="F432" s="111">
        <v>-10680000</v>
      </c>
    </row>
    <row r="433" spans="1:6">
      <c r="A433" s="231" t="s">
        <v>56</v>
      </c>
      <c r="B433" s="111">
        <v>0</v>
      </c>
      <c r="C433" s="111">
        <v>0</v>
      </c>
      <c r="D433" s="111">
        <v>0</v>
      </c>
      <c r="E433" s="111">
        <v>0</v>
      </c>
      <c r="F433" s="111">
        <v>0</v>
      </c>
    </row>
    <row r="434" spans="1:6">
      <c r="A434" s="231" t="s">
        <v>174</v>
      </c>
      <c r="B434" s="111">
        <v>-3007842</v>
      </c>
      <c r="C434" s="111">
        <v>-3451196</v>
      </c>
      <c r="D434" s="111">
        <v>-3757563</v>
      </c>
      <c r="E434" s="111">
        <v>-3978000</v>
      </c>
      <c r="F434" s="111">
        <v>-4196000</v>
      </c>
    </row>
    <row r="435" spans="1:6">
      <c r="A435" s="231" t="s">
        <v>175</v>
      </c>
      <c r="B435" s="111">
        <v>-307710</v>
      </c>
      <c r="C435" s="111">
        <v>-387674</v>
      </c>
      <c r="D435" s="111">
        <v>-452145</v>
      </c>
      <c r="E435" s="111">
        <v>-541000</v>
      </c>
      <c r="F435" s="111">
        <v>-590000</v>
      </c>
    </row>
    <row r="436" spans="1:6">
      <c r="A436" s="231" t="s">
        <v>176</v>
      </c>
      <c r="B436" s="111">
        <v>-79383</v>
      </c>
      <c r="C436" s="111">
        <v>-74427</v>
      </c>
      <c r="D436" s="111">
        <v>-98712</v>
      </c>
      <c r="E436" s="111">
        <v>-140000</v>
      </c>
      <c r="F436" s="111">
        <v>-134000</v>
      </c>
    </row>
    <row r="437" spans="1:6">
      <c r="A437" s="231" t="s">
        <v>177</v>
      </c>
      <c r="B437" s="111">
        <v>8992</v>
      </c>
      <c r="C437" s="111">
        <v>34071</v>
      </c>
      <c r="D437" s="111">
        <v>36296</v>
      </c>
      <c r="E437" s="111">
        <v>29000</v>
      </c>
      <c r="F437" s="111">
        <v>10000</v>
      </c>
    </row>
    <row r="438" spans="1:6">
      <c r="A438" s="231" t="s">
        <v>162</v>
      </c>
      <c r="B438" s="111">
        <v>-503830</v>
      </c>
      <c r="C438" s="111">
        <v>-665764</v>
      </c>
      <c r="D438" s="111">
        <v>-658210</v>
      </c>
      <c r="E438" s="111">
        <v>-540000</v>
      </c>
      <c r="F438" s="111">
        <v>-597000</v>
      </c>
    </row>
    <row r="439" spans="1:6">
      <c r="A439" s="231" t="s">
        <v>163</v>
      </c>
      <c r="B439" s="111">
        <v>0</v>
      </c>
      <c r="C439" s="111">
        <v>0</v>
      </c>
      <c r="D439" s="111">
        <v>0</v>
      </c>
      <c r="E439" s="111">
        <v>0</v>
      </c>
      <c r="F439" s="111">
        <v>0</v>
      </c>
    </row>
    <row r="440" spans="1:6">
      <c r="A440" s="231" t="s">
        <v>372</v>
      </c>
      <c r="B440" s="111">
        <v>0</v>
      </c>
      <c r="C440" s="111">
        <v>0</v>
      </c>
      <c r="D440" s="111">
        <v>0</v>
      </c>
      <c r="E440" s="111">
        <v>0</v>
      </c>
      <c r="F440" s="111">
        <v>0</v>
      </c>
    </row>
    <row r="441" spans="1:6">
      <c r="A441" s="231" t="s">
        <v>373</v>
      </c>
      <c r="B441" s="111">
        <v>0</v>
      </c>
      <c r="C441" s="111">
        <v>0</v>
      </c>
      <c r="D441" s="111">
        <v>0</v>
      </c>
      <c r="E441" s="111">
        <v>0</v>
      </c>
      <c r="F441" s="111">
        <v>0</v>
      </c>
    </row>
    <row r="442" spans="1:6">
      <c r="A442" s="231" t="s">
        <v>374</v>
      </c>
      <c r="B442" s="111">
        <v>0</v>
      </c>
      <c r="C442" s="111">
        <v>0</v>
      </c>
      <c r="D442" s="111">
        <v>0</v>
      </c>
      <c r="E442" s="111">
        <v>0</v>
      </c>
      <c r="F442" s="111">
        <v>0</v>
      </c>
    </row>
    <row r="443" spans="1:6">
      <c r="A443" s="231" t="s">
        <v>366</v>
      </c>
      <c r="B443" s="111">
        <v>286916</v>
      </c>
      <c r="C443" s="111">
        <v>620400</v>
      </c>
      <c r="D443" s="111">
        <v>663671</v>
      </c>
      <c r="E443" s="111">
        <v>676000</v>
      </c>
      <c r="F443" s="111">
        <v>2267000</v>
      </c>
    </row>
    <row r="444" spans="1:6">
      <c r="A444" s="231" t="s">
        <v>409</v>
      </c>
      <c r="B444" s="111">
        <v>1652065</v>
      </c>
      <c r="C444" s="111">
        <v>0</v>
      </c>
      <c r="D444" s="111">
        <v>0</v>
      </c>
      <c r="E444" s="111">
        <v>0</v>
      </c>
      <c r="F444" s="111">
        <v>0</v>
      </c>
    </row>
    <row r="445" spans="1:6">
      <c r="A445" s="231" t="s">
        <v>410</v>
      </c>
      <c r="B445" s="111">
        <v>2237568</v>
      </c>
      <c r="C445" s="111">
        <v>2588099</v>
      </c>
      <c r="D445" s="111">
        <v>2855733</v>
      </c>
      <c r="E445" s="111">
        <v>2799000</v>
      </c>
      <c r="F445" s="111">
        <v>2923000</v>
      </c>
    </row>
    <row r="446" spans="1:6">
      <c r="A446" s="231" t="s">
        <v>304</v>
      </c>
      <c r="B446" s="111">
        <v>89502.999999999418</v>
      </c>
      <c r="C446" s="111">
        <v>192540.99999999983</v>
      </c>
      <c r="D446" s="111">
        <v>204484.99999999991</v>
      </c>
      <c r="E446" s="111">
        <v>225000</v>
      </c>
      <c r="F446" s="111">
        <v>295000</v>
      </c>
    </row>
    <row r="447" spans="1:6">
      <c r="A447" s="231" t="s">
        <v>305</v>
      </c>
      <c r="B447" s="111">
        <v>4543832</v>
      </c>
      <c r="C447" s="111">
        <v>5352974</v>
      </c>
      <c r="D447" s="111">
        <v>6509819</v>
      </c>
      <c r="E447" s="111">
        <v>6984000</v>
      </c>
      <c r="F447" s="111">
        <v>7018000</v>
      </c>
    </row>
    <row r="448" spans="1:6">
      <c r="A448" s="231" t="s">
        <v>306</v>
      </c>
      <c r="B448" s="111">
        <v>0</v>
      </c>
      <c r="C448" s="111">
        <v>0</v>
      </c>
      <c r="D448" s="111">
        <v>0</v>
      </c>
      <c r="E448" s="111">
        <v>332000</v>
      </c>
      <c r="F448" s="111">
        <v>321000</v>
      </c>
    </row>
    <row r="449" spans="1:6">
      <c r="A449" s="231" t="s">
        <v>307</v>
      </c>
      <c r="B449" s="111">
        <v>221718</v>
      </c>
      <c r="C449" s="111">
        <v>228624</v>
      </c>
      <c r="D449" s="111">
        <v>219296</v>
      </c>
      <c r="E449" s="111">
        <v>210000</v>
      </c>
      <c r="F449" s="111">
        <v>204000</v>
      </c>
    </row>
    <row r="450" spans="1:6">
      <c r="A450" s="231" t="s">
        <v>178</v>
      </c>
      <c r="B450" s="111">
        <v>121435.99999999969</v>
      </c>
      <c r="C450" s="111">
        <v>58538.99999999976</v>
      </c>
      <c r="D450" s="111">
        <v>107077.99999999952</v>
      </c>
      <c r="E450" s="111">
        <v>108000</v>
      </c>
      <c r="F450" s="111">
        <v>132000</v>
      </c>
    </row>
    <row r="451" spans="1:6">
      <c r="A451" s="231" t="s">
        <v>186</v>
      </c>
      <c r="B451" s="111">
        <v>107941</v>
      </c>
      <c r="C451" s="111">
        <v>18841</v>
      </c>
      <c r="D451" s="111">
        <v>12701</v>
      </c>
      <c r="E451" s="111">
        <v>17000</v>
      </c>
      <c r="F451" s="111">
        <v>16000</v>
      </c>
    </row>
    <row r="452" spans="1:6">
      <c r="A452" s="231" t="s">
        <v>287</v>
      </c>
      <c r="B452" s="111">
        <v>829971</v>
      </c>
      <c r="C452" s="111">
        <v>934376</v>
      </c>
      <c r="D452" s="111">
        <v>835985</v>
      </c>
      <c r="E452" s="111">
        <v>881000</v>
      </c>
      <c r="F452" s="111">
        <v>1188000</v>
      </c>
    </row>
    <row r="453" spans="1:6">
      <c r="A453" s="231" t="s">
        <v>91</v>
      </c>
      <c r="B453" s="111">
        <v>166908</v>
      </c>
      <c r="C453" s="111">
        <v>233263</v>
      </c>
      <c r="D453" s="111">
        <v>124254</v>
      </c>
      <c r="E453" s="111">
        <v>105000</v>
      </c>
      <c r="F453" s="111">
        <v>184000</v>
      </c>
    </row>
    <row r="454" spans="1:6">
      <c r="A454" s="231" t="s">
        <v>490</v>
      </c>
      <c r="B454" s="111">
        <v>641635</v>
      </c>
      <c r="C454" s="111">
        <v>732178</v>
      </c>
      <c r="D454" s="111">
        <v>798508.00000000012</v>
      </c>
      <c r="E454" s="111">
        <v>812000</v>
      </c>
      <c r="F454" s="111">
        <v>1002000</v>
      </c>
    </row>
    <row r="455" spans="1:6">
      <c r="A455" s="231" t="s">
        <v>1</v>
      </c>
      <c r="B455" s="111">
        <v>1046104</v>
      </c>
      <c r="C455" s="111">
        <v>1040057</v>
      </c>
      <c r="D455" s="111">
        <v>2051875</v>
      </c>
      <c r="E455" s="111">
        <v>2053000</v>
      </c>
      <c r="F455" s="111">
        <v>2052000</v>
      </c>
    </row>
    <row r="456" spans="1:6">
      <c r="A456" s="231" t="s">
        <v>2</v>
      </c>
      <c r="B456" s="111">
        <v>185339.99999999991</v>
      </c>
      <c r="C456" s="111">
        <v>235536.9999999998</v>
      </c>
      <c r="D456" s="111">
        <v>372705.00000000017</v>
      </c>
      <c r="E456" s="111">
        <v>407000</v>
      </c>
      <c r="F456" s="111">
        <v>488000</v>
      </c>
    </row>
    <row r="457" spans="1:6">
      <c r="A457" s="231" t="s">
        <v>3</v>
      </c>
      <c r="B457" s="111">
        <v>217801</v>
      </c>
      <c r="C457" s="111">
        <v>243530</v>
      </c>
      <c r="D457" s="111">
        <v>262451</v>
      </c>
      <c r="E457" s="111">
        <v>320000</v>
      </c>
      <c r="F457" s="111">
        <v>377000</v>
      </c>
    </row>
    <row r="458" spans="1:6">
      <c r="A458" s="231" t="s">
        <v>4</v>
      </c>
      <c r="B458" s="111">
        <v>0</v>
      </c>
      <c r="C458" s="111">
        <v>0</v>
      </c>
      <c r="D458" s="111">
        <v>0</v>
      </c>
      <c r="E458" s="111">
        <v>0</v>
      </c>
      <c r="F458" s="111">
        <v>0</v>
      </c>
    </row>
    <row r="459" spans="1:6">
      <c r="A459" s="231" t="s">
        <v>5</v>
      </c>
      <c r="B459" s="111">
        <v>0</v>
      </c>
      <c r="C459" s="111">
        <v>0</v>
      </c>
      <c r="D459" s="111">
        <v>0</v>
      </c>
      <c r="E459" s="111">
        <v>0</v>
      </c>
      <c r="F459" s="111">
        <v>0</v>
      </c>
    </row>
    <row r="460" spans="1:6">
      <c r="A460" s="231" t="s">
        <v>389</v>
      </c>
      <c r="B460" s="111">
        <v>1586484.9999999998</v>
      </c>
      <c r="C460" s="111">
        <v>123861.00000000079</v>
      </c>
      <c r="D460" s="111">
        <v>-461782.00000000017</v>
      </c>
      <c r="E460" s="111">
        <v>-663000</v>
      </c>
      <c r="F460" s="111">
        <v>-550000</v>
      </c>
    </row>
    <row r="461" spans="1:6">
      <c r="A461" s="231" t="s">
        <v>390</v>
      </c>
      <c r="B461" s="111">
        <v>4370853</v>
      </c>
      <c r="C461" s="111">
        <v>5479534</v>
      </c>
      <c r="D461" s="111">
        <v>6563385</v>
      </c>
      <c r="E461" s="111">
        <v>7402000</v>
      </c>
      <c r="F461" s="111">
        <v>8403000</v>
      </c>
    </row>
    <row r="462" spans="1:6">
      <c r="A462" s="302" t="s">
        <v>139</v>
      </c>
      <c r="B462" s="111">
        <v>0</v>
      </c>
      <c r="C462" s="111">
        <v>0</v>
      </c>
      <c r="D462" s="111">
        <v>0</v>
      </c>
      <c r="E462" s="111">
        <v>0</v>
      </c>
      <c r="F462" s="111">
        <v>0</v>
      </c>
    </row>
    <row r="466" spans="1:7">
      <c r="A466" s="229" t="s">
        <v>391</v>
      </c>
      <c r="B466" s="111" t="s">
        <v>496</v>
      </c>
      <c r="C466" s="111"/>
      <c r="D466" s="111" t="s">
        <v>497</v>
      </c>
      <c r="E466" s="111"/>
      <c r="F466" s="111"/>
      <c r="G466" s="11" t="s">
        <v>435</v>
      </c>
    </row>
    <row r="467" spans="1:7">
      <c r="A467" s="229" t="s">
        <v>130</v>
      </c>
      <c r="B467" s="111">
        <v>217700</v>
      </c>
      <c r="C467" s="111"/>
      <c r="D467" s="111"/>
      <c r="E467" s="111"/>
      <c r="F467" s="111"/>
    </row>
    <row r="468" spans="1:7">
      <c r="A468" s="230" t="s">
        <v>74</v>
      </c>
      <c r="B468" s="254">
        <v>37286</v>
      </c>
      <c r="C468" s="254">
        <v>37651</v>
      </c>
      <c r="D468" s="254">
        <v>38016</v>
      </c>
      <c r="E468" s="254">
        <v>38382</v>
      </c>
      <c r="F468" s="254">
        <v>38747</v>
      </c>
    </row>
    <row r="469" spans="1:7">
      <c r="A469" s="231" t="s">
        <v>54</v>
      </c>
      <c r="B469" s="111">
        <v>7919214</v>
      </c>
      <c r="C469" s="111">
        <v>8793637</v>
      </c>
      <c r="D469" s="111">
        <v>9120000</v>
      </c>
      <c r="E469" s="111">
        <v>8573000</v>
      </c>
      <c r="F469" s="111">
        <v>8627000</v>
      </c>
    </row>
    <row r="470" spans="1:7">
      <c r="A470" s="231" t="s">
        <v>55</v>
      </c>
      <c r="B470" s="111">
        <v>-4611695</v>
      </c>
      <c r="C470" s="111">
        <v>-5069429</v>
      </c>
      <c r="D470" s="111">
        <v>-5257000</v>
      </c>
      <c r="E470" s="111">
        <v>-5115000</v>
      </c>
      <c r="F470" s="111">
        <v>-5015000</v>
      </c>
    </row>
    <row r="471" spans="1:7">
      <c r="A471" s="231" t="s">
        <v>56</v>
      </c>
      <c r="B471" s="111">
        <v>0</v>
      </c>
      <c r="C471" s="111">
        <v>0</v>
      </c>
      <c r="D471" s="111">
        <v>0</v>
      </c>
      <c r="E471" s="111">
        <v>0</v>
      </c>
      <c r="F471" s="111">
        <v>0</v>
      </c>
    </row>
    <row r="472" spans="1:7">
      <c r="A472" s="231" t="s">
        <v>174</v>
      </c>
      <c r="B472" s="111">
        <v>-2100666</v>
      </c>
      <c r="C472" s="111">
        <v>-2296863</v>
      </c>
      <c r="D472" s="111">
        <v>-2360000</v>
      </c>
      <c r="E472" s="111">
        <v>-2386000</v>
      </c>
      <c r="F472" s="111">
        <v>-2465000</v>
      </c>
    </row>
    <row r="473" spans="1:7">
      <c r="A473" s="231" t="s">
        <v>175</v>
      </c>
      <c r="B473" s="111">
        <v>-276328</v>
      </c>
      <c r="C473" s="111">
        <v>-284520</v>
      </c>
      <c r="D473" s="111">
        <v>-269000</v>
      </c>
      <c r="E473" s="111">
        <v>-302000</v>
      </c>
      <c r="F473" s="111">
        <v>-313000</v>
      </c>
    </row>
    <row r="474" spans="1:7">
      <c r="A474" s="231" t="s">
        <v>176</v>
      </c>
      <c r="B474" s="111">
        <v>-63378</v>
      </c>
      <c r="C474" s="111">
        <v>-62409</v>
      </c>
      <c r="D474" s="111">
        <v>-102000</v>
      </c>
      <c r="E474" s="111">
        <v>-145000</v>
      </c>
      <c r="F474" s="111">
        <v>-148000</v>
      </c>
    </row>
    <row r="475" spans="1:7">
      <c r="A475" s="231" t="s">
        <v>177</v>
      </c>
      <c r="B475" s="111">
        <v>18078</v>
      </c>
      <c r="C475" s="111">
        <v>19651</v>
      </c>
      <c r="D475" s="111">
        <v>28000</v>
      </c>
      <c r="E475" s="111">
        <v>23000</v>
      </c>
      <c r="F475" s="111">
        <v>10000</v>
      </c>
    </row>
    <row r="476" spans="1:7">
      <c r="A476" s="231" t="s">
        <v>162</v>
      </c>
      <c r="B476" s="111">
        <v>-333886</v>
      </c>
      <c r="C476" s="111">
        <v>-427654</v>
      </c>
      <c r="D476" s="111">
        <v>-458000</v>
      </c>
      <c r="E476" s="111">
        <v>-247000</v>
      </c>
      <c r="F476" s="111">
        <v>-255000</v>
      </c>
    </row>
    <row r="477" spans="1:7">
      <c r="A477" s="231" t="s">
        <v>163</v>
      </c>
      <c r="B477" s="111">
        <v>0</v>
      </c>
      <c r="C477" s="111">
        <v>0</v>
      </c>
      <c r="D477" s="111">
        <v>0</v>
      </c>
      <c r="E477" s="111">
        <v>0</v>
      </c>
      <c r="F477" s="111">
        <v>0</v>
      </c>
    </row>
    <row r="478" spans="1:7">
      <c r="A478" s="231" t="s">
        <v>372</v>
      </c>
      <c r="B478" s="111">
        <v>0</v>
      </c>
      <c r="C478" s="111">
        <v>5586</v>
      </c>
      <c r="D478" s="111">
        <v>13000</v>
      </c>
      <c r="E478" s="111">
        <v>0</v>
      </c>
      <c r="F478" s="111">
        <v>0</v>
      </c>
    </row>
    <row r="479" spans="1:7">
      <c r="A479" s="231" t="s">
        <v>373</v>
      </c>
      <c r="B479" s="111">
        <v>0</v>
      </c>
      <c r="C479" s="111">
        <v>0</v>
      </c>
      <c r="D479" s="111">
        <v>0</v>
      </c>
      <c r="E479" s="111">
        <v>0</v>
      </c>
      <c r="F479" s="111">
        <v>0</v>
      </c>
    </row>
    <row r="480" spans="1:7">
      <c r="A480" s="231" t="s">
        <v>374</v>
      </c>
      <c r="B480" s="111">
        <v>0</v>
      </c>
      <c r="C480" s="111">
        <v>0</v>
      </c>
      <c r="D480" s="111">
        <v>0</v>
      </c>
      <c r="E480" s="111">
        <v>0</v>
      </c>
      <c r="F480" s="111">
        <v>0</v>
      </c>
    </row>
    <row r="481" spans="1:6">
      <c r="A481" s="231" t="s">
        <v>366</v>
      </c>
      <c r="B481" s="111">
        <v>516655.99999999994</v>
      </c>
      <c r="C481" s="111">
        <v>402559</v>
      </c>
      <c r="D481" s="111">
        <v>358000</v>
      </c>
      <c r="E481" s="111">
        <v>72000</v>
      </c>
      <c r="F481" s="111">
        <v>795000</v>
      </c>
    </row>
    <row r="482" spans="1:6">
      <c r="A482" s="231" t="s">
        <v>409</v>
      </c>
      <c r="B482" s="111">
        <v>1200694</v>
      </c>
      <c r="C482" s="111">
        <v>1112551</v>
      </c>
      <c r="D482" s="111">
        <v>1788000</v>
      </c>
      <c r="E482" s="111">
        <v>1942000</v>
      </c>
      <c r="F482" s="111">
        <v>2035000</v>
      </c>
    </row>
    <row r="483" spans="1:6">
      <c r="A483" s="231" t="s">
        <v>410</v>
      </c>
      <c r="B483" s="111">
        <v>955978</v>
      </c>
      <c r="C483" s="111">
        <v>997289</v>
      </c>
      <c r="D483" s="111">
        <v>956000</v>
      </c>
      <c r="E483" s="111">
        <v>900000</v>
      </c>
      <c r="F483" s="111">
        <v>898000</v>
      </c>
    </row>
    <row r="484" spans="1:6">
      <c r="A484" s="231" t="s">
        <v>304</v>
      </c>
      <c r="B484" s="111">
        <v>200829.00000000017</v>
      </c>
      <c r="C484" s="111">
        <v>229794.00000000026</v>
      </c>
      <c r="D484" s="111">
        <v>259000</v>
      </c>
      <c r="E484" s="111">
        <v>303000</v>
      </c>
      <c r="F484" s="111">
        <v>326000</v>
      </c>
    </row>
    <row r="485" spans="1:6">
      <c r="A485" s="231" t="s">
        <v>305</v>
      </c>
      <c r="B485" s="111">
        <v>1773871</v>
      </c>
      <c r="C485" s="111">
        <v>1757215</v>
      </c>
      <c r="D485" s="111">
        <v>1983000</v>
      </c>
      <c r="E485" s="111">
        <v>2221000</v>
      </c>
      <c r="F485" s="111">
        <v>2242000</v>
      </c>
    </row>
    <row r="486" spans="1:6">
      <c r="A486" s="231" t="s">
        <v>306</v>
      </c>
      <c r="B486" s="111">
        <v>0</v>
      </c>
      <c r="C486" s="111">
        <v>0</v>
      </c>
      <c r="D486" s="111">
        <v>0</v>
      </c>
      <c r="E486" s="111">
        <v>0</v>
      </c>
      <c r="F486" s="111">
        <v>0</v>
      </c>
    </row>
    <row r="487" spans="1:6">
      <c r="A487" s="231" t="s">
        <v>307</v>
      </c>
      <c r="B487" s="111">
        <v>140912</v>
      </c>
      <c r="C487" s="111">
        <v>135714</v>
      </c>
      <c r="D487" s="111">
        <v>53000</v>
      </c>
      <c r="E487" s="111">
        <v>53000</v>
      </c>
      <c r="F487" s="111">
        <v>53000</v>
      </c>
    </row>
    <row r="488" spans="1:6">
      <c r="A488" s="231" t="s">
        <v>178</v>
      </c>
      <c r="B488" s="111">
        <v>132408.99999999965</v>
      </c>
      <c r="C488" s="111">
        <v>186456.00000000012</v>
      </c>
      <c r="D488" s="111">
        <v>203000</v>
      </c>
      <c r="E488" s="111">
        <v>170000</v>
      </c>
      <c r="F488" s="111">
        <v>230000</v>
      </c>
    </row>
    <row r="489" spans="1:6">
      <c r="A489" s="231" t="s">
        <v>186</v>
      </c>
      <c r="B489" s="111">
        <v>306618</v>
      </c>
      <c r="C489" s="111">
        <v>6800</v>
      </c>
      <c r="D489" s="111">
        <v>261000</v>
      </c>
      <c r="E489" s="111">
        <v>299000</v>
      </c>
      <c r="F489" s="111">
        <v>356000</v>
      </c>
    </row>
    <row r="490" spans="1:6">
      <c r="A490" s="231" t="s">
        <v>287</v>
      </c>
      <c r="B490" s="111">
        <v>540019</v>
      </c>
      <c r="C490" s="111">
        <v>576796</v>
      </c>
      <c r="D490" s="111">
        <v>556000</v>
      </c>
      <c r="E490" s="111">
        <v>563000</v>
      </c>
      <c r="F490" s="111">
        <v>726000</v>
      </c>
    </row>
    <row r="491" spans="1:6">
      <c r="A491" s="231" t="s">
        <v>91</v>
      </c>
      <c r="B491" s="111">
        <v>81617</v>
      </c>
      <c r="C491" s="111">
        <v>76095</v>
      </c>
      <c r="D491" s="111">
        <v>58000</v>
      </c>
      <c r="E491" s="111">
        <v>0</v>
      </c>
      <c r="F491" s="111">
        <v>0</v>
      </c>
    </row>
    <row r="492" spans="1:6">
      <c r="A492" s="231" t="s">
        <v>490</v>
      </c>
      <c r="B492" s="111">
        <v>695058</v>
      </c>
      <c r="C492" s="111">
        <v>773452</v>
      </c>
      <c r="D492" s="111">
        <v>760000</v>
      </c>
      <c r="E492" s="111">
        <v>739000</v>
      </c>
      <c r="F492" s="111">
        <v>932000</v>
      </c>
    </row>
    <row r="493" spans="1:6">
      <c r="A493" s="231" t="s">
        <v>1</v>
      </c>
      <c r="B493" s="111">
        <v>627776</v>
      </c>
      <c r="C493" s="111">
        <v>623652</v>
      </c>
      <c r="D493" s="111">
        <v>2236000</v>
      </c>
      <c r="E493" s="111">
        <v>2214000</v>
      </c>
      <c r="F493" s="111">
        <v>2257000</v>
      </c>
    </row>
    <row r="494" spans="1:6">
      <c r="A494" s="231" t="s">
        <v>2</v>
      </c>
      <c r="B494" s="111">
        <v>577580.00000000035</v>
      </c>
      <c r="C494" s="111">
        <v>596261.99999999977</v>
      </c>
      <c r="D494" s="111">
        <v>614000</v>
      </c>
      <c r="E494" s="111">
        <v>636000</v>
      </c>
      <c r="F494" s="111">
        <v>736000</v>
      </c>
    </row>
    <row r="495" spans="1:6">
      <c r="A495" s="231" t="s">
        <v>3</v>
      </c>
      <c r="B495" s="111">
        <v>0</v>
      </c>
      <c r="C495" s="111">
        <v>0</v>
      </c>
      <c r="D495" s="111">
        <v>0</v>
      </c>
      <c r="E495" s="111">
        <v>0</v>
      </c>
      <c r="F495" s="111">
        <v>0</v>
      </c>
    </row>
    <row r="496" spans="1:6">
      <c r="A496" s="231" t="s">
        <v>4</v>
      </c>
      <c r="B496" s="111">
        <v>0</v>
      </c>
      <c r="C496" s="111">
        <v>0</v>
      </c>
      <c r="D496" s="111">
        <v>0</v>
      </c>
      <c r="E496" s="111">
        <v>0</v>
      </c>
      <c r="F496" s="111">
        <v>0</v>
      </c>
    </row>
    <row r="497" spans="1:7">
      <c r="A497" s="231" t="s">
        <v>5</v>
      </c>
      <c r="B497" s="111">
        <v>0</v>
      </c>
      <c r="C497" s="111">
        <v>0</v>
      </c>
      <c r="D497" s="111">
        <v>0</v>
      </c>
      <c r="E497" s="111">
        <v>0</v>
      </c>
      <c r="F497" s="111">
        <v>0</v>
      </c>
    </row>
    <row r="498" spans="1:7">
      <c r="A498" s="231" t="s">
        <v>389</v>
      </c>
      <c r="B498" s="111">
        <v>685607</v>
      </c>
      <c r="C498" s="111">
        <v>826421.00000000023</v>
      </c>
      <c r="D498" s="111">
        <v>936000</v>
      </c>
      <c r="E498" s="111">
        <v>997000</v>
      </c>
      <c r="F498" s="111">
        <v>1066000</v>
      </c>
    </row>
    <row r="499" spans="1:7">
      <c r="A499" s="231" t="s">
        <v>390</v>
      </c>
      <c r="B499" s="111">
        <v>1407074</v>
      </c>
      <c r="C499" s="111">
        <v>1342100</v>
      </c>
      <c r="D499" s="111">
        <v>179000</v>
      </c>
      <c r="E499" s="111">
        <v>213000</v>
      </c>
      <c r="F499" s="111">
        <v>506000</v>
      </c>
    </row>
    <row r="500" spans="1:7">
      <c r="A500" s="302" t="s">
        <v>139</v>
      </c>
      <c r="B500" s="111">
        <v>134000</v>
      </c>
      <c r="C500" s="111">
        <v>110158</v>
      </c>
      <c r="D500" s="111">
        <v>134000</v>
      </c>
      <c r="E500" s="111">
        <v>138000</v>
      </c>
      <c r="F500" s="111">
        <v>139000</v>
      </c>
    </row>
    <row r="504" spans="1:7">
      <c r="A504" s="229" t="s">
        <v>391</v>
      </c>
      <c r="B504" s="111" t="s">
        <v>499</v>
      </c>
      <c r="C504" s="111"/>
      <c r="D504" s="111" t="s">
        <v>500</v>
      </c>
      <c r="E504" s="111"/>
      <c r="F504" s="111"/>
      <c r="G504" s="11" t="s">
        <v>435</v>
      </c>
    </row>
    <row r="505" spans="1:7">
      <c r="A505" s="229" t="s">
        <v>130</v>
      </c>
      <c r="B505" s="111">
        <v>122929</v>
      </c>
      <c r="C505" s="111"/>
      <c r="D505" s="111"/>
      <c r="E505" s="111"/>
      <c r="F505" s="111"/>
    </row>
    <row r="506" spans="1:7">
      <c r="A506" s="230" t="s">
        <v>74</v>
      </c>
      <c r="B506" s="254">
        <v>37283</v>
      </c>
      <c r="C506" s="254">
        <v>37654</v>
      </c>
      <c r="D506" s="254">
        <v>38018</v>
      </c>
      <c r="E506" s="254">
        <v>38382</v>
      </c>
      <c r="F506" s="254">
        <v>38746</v>
      </c>
    </row>
    <row r="507" spans="1:7">
      <c r="A507" s="231" t="s">
        <v>54</v>
      </c>
      <c r="B507" s="111">
        <v>4944179</v>
      </c>
      <c r="C507" s="111">
        <v>5570210</v>
      </c>
      <c r="D507" s="111">
        <v>5975212</v>
      </c>
      <c r="E507" s="111">
        <v>6486139</v>
      </c>
      <c r="F507" s="111">
        <v>7184213</v>
      </c>
    </row>
    <row r="508" spans="1:7">
      <c r="A508" s="231" t="s">
        <v>55</v>
      </c>
      <c r="B508" s="111">
        <v>-3832296</v>
      </c>
      <c r="C508" s="111">
        <v>-4317527</v>
      </c>
      <c r="D508" s="111">
        <v>-4618220</v>
      </c>
      <c r="E508" s="111">
        <v>-4956576</v>
      </c>
      <c r="F508" s="111">
        <v>-5327278</v>
      </c>
    </row>
    <row r="509" spans="1:7">
      <c r="A509" s="231" t="s">
        <v>56</v>
      </c>
      <c r="B509" s="111">
        <v>0</v>
      </c>
      <c r="C509" s="111">
        <v>0</v>
      </c>
      <c r="D509" s="111">
        <v>0</v>
      </c>
      <c r="E509" s="111">
        <v>0</v>
      </c>
      <c r="F509" s="111">
        <v>0</v>
      </c>
    </row>
    <row r="510" spans="1:7">
      <c r="A510" s="231" t="s">
        <v>174</v>
      </c>
      <c r="B510" s="111">
        <v>-786439</v>
      </c>
      <c r="C510" s="111">
        <v>-863033</v>
      </c>
      <c r="D510" s="111">
        <v>-935901</v>
      </c>
      <c r="E510" s="111">
        <v>-1034357</v>
      </c>
      <c r="F510" s="111">
        <v>-1130813</v>
      </c>
    </row>
    <row r="511" spans="1:7">
      <c r="A511" s="231" t="s">
        <v>175</v>
      </c>
      <c r="B511" s="111">
        <v>0</v>
      </c>
      <c r="C511" s="111">
        <v>0</v>
      </c>
      <c r="D511" s="111">
        <v>0</v>
      </c>
      <c r="E511" s="111">
        <v>0</v>
      </c>
      <c r="F511" s="111">
        <v>0</v>
      </c>
    </row>
    <row r="512" spans="1:7">
      <c r="A512" s="231" t="s">
        <v>176</v>
      </c>
      <c r="B512" s="111">
        <v>-4102</v>
      </c>
      <c r="C512" s="111">
        <v>-2873</v>
      </c>
      <c r="D512" s="111">
        <v>-9771</v>
      </c>
      <c r="E512" s="111">
        <v>-8343</v>
      </c>
      <c r="F512" s="111">
        <v>-9393</v>
      </c>
    </row>
    <row r="513" spans="1:6">
      <c r="A513" s="231" t="s">
        <v>177</v>
      </c>
      <c r="B513" s="111">
        <v>7000</v>
      </c>
      <c r="C513" s="111">
        <v>11500</v>
      </c>
      <c r="D513" s="111">
        <v>13800</v>
      </c>
      <c r="E513" s="111">
        <v>8500</v>
      </c>
      <c r="F513" s="111">
        <v>1800</v>
      </c>
    </row>
    <row r="514" spans="1:6">
      <c r="A514" s="231" t="s">
        <v>162</v>
      </c>
      <c r="B514" s="111">
        <v>-128710</v>
      </c>
      <c r="C514" s="111">
        <v>-156643</v>
      </c>
      <c r="D514" s="111">
        <v>-164069</v>
      </c>
      <c r="E514" s="111">
        <v>-189922</v>
      </c>
      <c r="F514" s="111">
        <v>-275772</v>
      </c>
    </row>
    <row r="515" spans="1:6">
      <c r="A515" s="231" t="s">
        <v>163</v>
      </c>
      <c r="B515" s="111">
        <v>0</v>
      </c>
      <c r="C515" s="111">
        <v>0</v>
      </c>
      <c r="D515" s="111">
        <v>0</v>
      </c>
      <c r="E515" s="111">
        <v>0</v>
      </c>
      <c r="F515" s="111">
        <v>0</v>
      </c>
    </row>
    <row r="516" spans="1:6">
      <c r="A516" s="231" t="s">
        <v>372</v>
      </c>
      <c r="B516" s="111">
        <v>0</v>
      </c>
      <c r="C516" s="111">
        <v>0</v>
      </c>
      <c r="D516" s="111">
        <v>0</v>
      </c>
      <c r="E516" s="111">
        <v>0</v>
      </c>
      <c r="F516" s="111">
        <v>0</v>
      </c>
    </row>
    <row r="517" spans="1:6">
      <c r="A517" s="231" t="s">
        <v>373</v>
      </c>
      <c r="B517" s="111">
        <v>0</v>
      </c>
      <c r="C517" s="111">
        <v>0</v>
      </c>
      <c r="D517" s="111">
        <v>0</v>
      </c>
      <c r="E517" s="111">
        <v>0</v>
      </c>
      <c r="F517" s="111">
        <v>0</v>
      </c>
    </row>
    <row r="518" spans="1:6">
      <c r="A518" s="231" t="s">
        <v>374</v>
      </c>
      <c r="B518" s="111">
        <v>0</v>
      </c>
      <c r="C518" s="111">
        <v>0</v>
      </c>
      <c r="D518" s="111">
        <v>0</v>
      </c>
      <c r="E518" s="111">
        <v>0</v>
      </c>
      <c r="F518" s="111">
        <v>0</v>
      </c>
    </row>
    <row r="519" spans="1:6">
      <c r="A519" s="231" t="s">
        <v>366</v>
      </c>
      <c r="B519" s="111">
        <v>204530</v>
      </c>
      <c r="C519" s="111">
        <v>372635</v>
      </c>
      <c r="D519" s="111">
        <v>263678</v>
      </c>
      <c r="E519" s="111">
        <v>322153</v>
      </c>
      <c r="F519" s="111">
        <v>770097</v>
      </c>
    </row>
    <row r="520" spans="1:6">
      <c r="A520" s="231" t="s">
        <v>409</v>
      </c>
      <c r="B520" s="111">
        <v>29122</v>
      </c>
      <c r="C520" s="111">
        <v>30105</v>
      </c>
      <c r="D520" s="111">
        <v>37468</v>
      </c>
      <c r="E520" s="111">
        <v>96411</v>
      </c>
      <c r="F520" s="111">
        <v>102852</v>
      </c>
    </row>
    <row r="521" spans="1:6">
      <c r="A521" s="231" t="s">
        <v>410</v>
      </c>
      <c r="B521" s="111">
        <v>938091</v>
      </c>
      <c r="C521" s="111">
        <v>1051729</v>
      </c>
      <c r="D521" s="111">
        <v>1025295</v>
      </c>
      <c r="E521" s="111">
        <v>881058</v>
      </c>
      <c r="F521" s="111">
        <v>872498</v>
      </c>
    </row>
    <row r="522" spans="1:6">
      <c r="A522" s="231" t="s">
        <v>304</v>
      </c>
      <c r="B522" s="111">
        <v>57104</v>
      </c>
      <c r="C522" s="111">
        <v>60487</v>
      </c>
      <c r="D522" s="111">
        <v>71560</v>
      </c>
      <c r="E522" s="111">
        <v>14093</v>
      </c>
      <c r="F522" s="111">
        <v>0</v>
      </c>
    </row>
    <row r="523" spans="1:6">
      <c r="A523" s="231" t="s">
        <v>305</v>
      </c>
      <c r="B523" s="111">
        <v>639852</v>
      </c>
      <c r="C523" s="111">
        <v>748233</v>
      </c>
      <c r="D523" s="111">
        <v>868315</v>
      </c>
      <c r="E523" s="111">
        <v>951656</v>
      </c>
      <c r="F523" s="111">
        <v>942999</v>
      </c>
    </row>
    <row r="524" spans="1:6">
      <c r="A524" s="231" t="s">
        <v>6</v>
      </c>
      <c r="B524" s="111">
        <v>11202</v>
      </c>
      <c r="C524" s="111">
        <v>31136</v>
      </c>
      <c r="D524" s="111">
        <v>40766</v>
      </c>
      <c r="E524" s="111">
        <v>38014</v>
      </c>
      <c r="F524" s="111">
        <v>16848</v>
      </c>
    </row>
    <row r="525" spans="1:6">
      <c r="A525" s="231" t="s">
        <v>7</v>
      </c>
      <c r="B525" s="111">
        <v>12086</v>
      </c>
      <c r="C525" s="111">
        <v>13916</v>
      </c>
      <c r="D525" s="111">
        <v>12796</v>
      </c>
      <c r="E525" s="111">
        <v>10971</v>
      </c>
      <c r="F525" s="111">
        <v>2889</v>
      </c>
    </row>
    <row r="526" spans="1:6">
      <c r="A526" s="231" t="s">
        <v>178</v>
      </c>
      <c r="B526" s="111">
        <v>46751</v>
      </c>
      <c r="C526" s="111">
        <v>50350</v>
      </c>
      <c r="D526" s="111">
        <v>51444</v>
      </c>
      <c r="E526" s="111">
        <v>41155</v>
      </c>
      <c r="F526" s="111">
        <v>60450</v>
      </c>
    </row>
    <row r="527" spans="1:6">
      <c r="A527" s="231" t="s">
        <v>186</v>
      </c>
      <c r="B527" s="111">
        <v>50000</v>
      </c>
      <c r="C527" s="111">
        <v>0</v>
      </c>
      <c r="D527" s="111">
        <v>0</v>
      </c>
      <c r="E527" s="111">
        <v>0</v>
      </c>
      <c r="F527" s="111">
        <v>0</v>
      </c>
    </row>
    <row r="528" spans="1:6">
      <c r="A528" s="231" t="s">
        <v>287</v>
      </c>
      <c r="B528" s="111">
        <v>474614</v>
      </c>
      <c r="C528" s="111">
        <v>698063</v>
      </c>
      <c r="D528" s="111">
        <v>637158</v>
      </c>
      <c r="E528" s="111">
        <v>536745</v>
      </c>
      <c r="F528" s="111">
        <v>658299</v>
      </c>
    </row>
    <row r="529" spans="1:7">
      <c r="A529" s="231" t="s">
        <v>172</v>
      </c>
      <c r="B529" s="111">
        <v>25586</v>
      </c>
      <c r="C529" s="111">
        <v>33577</v>
      </c>
      <c r="D529" s="111">
        <v>21818</v>
      </c>
      <c r="E529" s="111">
        <v>9120</v>
      </c>
      <c r="F529" s="111">
        <v>54399</v>
      </c>
    </row>
    <row r="530" spans="1:7">
      <c r="A530" s="231" t="s">
        <v>173</v>
      </c>
      <c r="B530" s="111">
        <v>328783</v>
      </c>
      <c r="C530" s="111">
        <v>351617</v>
      </c>
      <c r="D530" s="111">
        <v>351629</v>
      </c>
      <c r="E530" s="111">
        <v>409394</v>
      </c>
      <c r="F530" s="111">
        <v>477816</v>
      </c>
    </row>
    <row r="531" spans="1:7">
      <c r="A531" s="231" t="s">
        <v>1</v>
      </c>
      <c r="B531" s="111">
        <v>0</v>
      </c>
      <c r="C531" s="111">
        <v>150000</v>
      </c>
      <c r="D531" s="111">
        <v>150000</v>
      </c>
      <c r="E531" s="111">
        <v>150000</v>
      </c>
      <c r="F531" s="111">
        <v>150000</v>
      </c>
    </row>
    <row r="532" spans="1:7">
      <c r="A532" s="231" t="s">
        <v>2</v>
      </c>
      <c r="B532" s="111">
        <v>122926</v>
      </c>
      <c r="C532" s="111">
        <v>32510</v>
      </c>
      <c r="D532" s="111">
        <v>57340</v>
      </c>
      <c r="E532" s="111">
        <v>61994</v>
      </c>
      <c r="F532" s="111">
        <v>64883</v>
      </c>
    </row>
    <row r="533" spans="1:7">
      <c r="A533" s="231" t="s">
        <v>3</v>
      </c>
      <c r="B533" s="111">
        <v>100657</v>
      </c>
      <c r="C533" s="111">
        <v>182994</v>
      </c>
      <c r="D533" s="111">
        <v>182728</v>
      </c>
      <c r="E533" s="111">
        <v>191889</v>
      </c>
      <c r="F533" s="111">
        <v>205943</v>
      </c>
    </row>
    <row r="534" spans="1:7">
      <c r="A534" s="231" t="s">
        <v>4</v>
      </c>
      <c r="B534" s="111">
        <v>0</v>
      </c>
      <c r="C534" s="111">
        <v>0</v>
      </c>
      <c r="D534" s="111">
        <v>0</v>
      </c>
      <c r="E534" s="111">
        <v>0</v>
      </c>
      <c r="F534" s="111">
        <v>0</v>
      </c>
    </row>
    <row r="535" spans="1:7">
      <c r="A535" s="231" t="s">
        <v>5</v>
      </c>
      <c r="B535" s="111">
        <v>0</v>
      </c>
      <c r="C535" s="111">
        <v>0</v>
      </c>
      <c r="D535" s="111">
        <v>0</v>
      </c>
      <c r="E535" s="111">
        <v>0</v>
      </c>
      <c r="F535" s="111">
        <v>0</v>
      </c>
    </row>
    <row r="536" spans="1:7">
      <c r="A536" s="231" t="s">
        <v>389</v>
      </c>
      <c r="B536" s="111">
        <v>476415</v>
      </c>
      <c r="C536" s="111">
        <v>524910</v>
      </c>
      <c r="D536" s="111">
        <v>554558</v>
      </c>
      <c r="E536" s="111">
        <v>595397</v>
      </c>
      <c r="F536" s="111">
        <v>646443</v>
      </c>
    </row>
    <row r="537" spans="1:7">
      <c r="A537" s="231" t="s">
        <v>390</v>
      </c>
      <c r="B537" s="111">
        <v>359757</v>
      </c>
      <c r="C537" s="111">
        <v>384920</v>
      </c>
      <c r="D537" s="111">
        <v>416091</v>
      </c>
      <c r="E537" s="111">
        <v>400972</v>
      </c>
      <c r="F537" s="111">
        <v>510850</v>
      </c>
    </row>
    <row r="538" spans="1:7">
      <c r="A538" s="302" t="s">
        <v>139</v>
      </c>
      <c r="B538" s="111">
        <v>0</v>
      </c>
      <c r="C538" s="111">
        <v>33634</v>
      </c>
      <c r="D538" s="111">
        <v>40638</v>
      </c>
      <c r="E538" s="111">
        <v>49838</v>
      </c>
      <c r="F538" s="111">
        <v>55202</v>
      </c>
    </row>
    <row r="542" spans="1:7">
      <c r="A542" s="229" t="s">
        <v>391</v>
      </c>
      <c r="B542" s="111" t="s">
        <v>115</v>
      </c>
      <c r="C542" s="111"/>
      <c r="D542" s="111" t="s">
        <v>116</v>
      </c>
      <c r="E542" s="111"/>
      <c r="F542" s="111"/>
      <c r="G542" s="11" t="s">
        <v>435</v>
      </c>
    </row>
    <row r="543" spans="1:7">
      <c r="A543" s="229" t="s">
        <v>132</v>
      </c>
      <c r="B543" s="111">
        <v>66923</v>
      </c>
      <c r="C543" s="111"/>
      <c r="D543" s="111"/>
      <c r="E543" s="111"/>
      <c r="F543" s="111"/>
    </row>
    <row r="544" spans="1:7">
      <c r="A544" s="230" t="s">
        <v>74</v>
      </c>
      <c r="B544" s="254">
        <v>36890</v>
      </c>
      <c r="C544" s="254">
        <v>37255</v>
      </c>
      <c r="D544" s="254">
        <v>37620</v>
      </c>
      <c r="E544" s="254">
        <v>37985</v>
      </c>
      <c r="F544" s="254">
        <v>38351</v>
      </c>
    </row>
    <row r="545" spans="1:6">
      <c r="A545" s="231" t="s">
        <v>54</v>
      </c>
      <c r="B545" s="111">
        <v>1555974</v>
      </c>
      <c r="C545" s="111">
        <v>1799661</v>
      </c>
      <c r="D545" s="111">
        <v>2063524</v>
      </c>
      <c r="E545" s="111">
        <v>2349599</v>
      </c>
      <c r="F545" s="111">
        <v>2552721</v>
      </c>
    </row>
    <row r="546" spans="1:6">
      <c r="A546" s="231" t="s">
        <v>283</v>
      </c>
      <c r="B546" s="111">
        <v>-895822</v>
      </c>
      <c r="C546" s="111">
        <v>-1029410</v>
      </c>
      <c r="D546" s="111">
        <v>-1158840</v>
      </c>
      <c r="E546" s="111">
        <v>-1318523</v>
      </c>
      <c r="F546" s="111">
        <v>-1475541</v>
      </c>
    </row>
    <row r="547" spans="1:6">
      <c r="A547" s="231" t="s">
        <v>284</v>
      </c>
      <c r="B547" s="111">
        <v>0</v>
      </c>
      <c r="C547" s="111">
        <v>0</v>
      </c>
      <c r="D547" s="111">
        <v>0</v>
      </c>
      <c r="E547" s="111">
        <v>0</v>
      </c>
      <c r="F547" s="111">
        <v>0</v>
      </c>
    </row>
    <row r="548" spans="1:6">
      <c r="A548" s="231" t="s">
        <v>408</v>
      </c>
      <c r="B548" s="111">
        <v>-533094</v>
      </c>
      <c r="C548" s="111">
        <v>-620376</v>
      </c>
      <c r="D548" s="111">
        <v>-715380</v>
      </c>
      <c r="E548" s="111">
        <v>-820121</v>
      </c>
      <c r="F548" s="111">
        <v>-871468</v>
      </c>
    </row>
    <row r="549" spans="1:6">
      <c r="A549" s="231" t="s">
        <v>175</v>
      </c>
      <c r="B549" s="111">
        <v>-29843</v>
      </c>
      <c r="C549" s="111">
        <v>-34912</v>
      </c>
      <c r="D549" s="111">
        <v>-45559</v>
      </c>
      <c r="E549" s="111">
        <v>-59863</v>
      </c>
      <c r="F549" s="111">
        <v>-64673</v>
      </c>
    </row>
    <row r="550" spans="1:6">
      <c r="A550" s="231" t="s">
        <v>176</v>
      </c>
      <c r="B550" s="111">
        <v>-8178</v>
      </c>
      <c r="C550" s="111">
        <v>-10928</v>
      </c>
      <c r="D550" s="111">
        <v>-17947</v>
      </c>
      <c r="E550" s="111">
        <v>-20243</v>
      </c>
      <c r="F550" s="111">
        <v>-29708</v>
      </c>
    </row>
    <row r="551" spans="1:6">
      <c r="A551" s="231" t="s">
        <v>177</v>
      </c>
      <c r="B551" s="111">
        <v>11044</v>
      </c>
      <c r="C551" s="111">
        <v>11335</v>
      </c>
      <c r="D551" s="111">
        <v>11458</v>
      </c>
      <c r="E551" s="111">
        <v>8378</v>
      </c>
      <c r="F551" s="111">
        <v>6904</v>
      </c>
    </row>
    <row r="552" spans="1:6">
      <c r="A552" s="231" t="s">
        <v>162</v>
      </c>
      <c r="B552" s="111">
        <v>-35085</v>
      </c>
      <c r="C552" s="111">
        <v>-42801</v>
      </c>
      <c r="D552" s="111">
        <v>-51471</v>
      </c>
      <c r="E552" s="111">
        <v>-51348</v>
      </c>
      <c r="F552" s="111">
        <v>-41831</v>
      </c>
    </row>
    <row r="553" spans="1:6">
      <c r="A553" s="231" t="s">
        <v>163</v>
      </c>
      <c r="B553" s="111">
        <v>0</v>
      </c>
      <c r="C553" s="111">
        <v>0</v>
      </c>
      <c r="D553" s="111">
        <v>0</v>
      </c>
      <c r="E553" s="111">
        <v>0</v>
      </c>
      <c r="F553" s="111">
        <v>0</v>
      </c>
    </row>
    <row r="554" spans="1:6">
      <c r="A554" s="231" t="s">
        <v>372</v>
      </c>
      <c r="B554" s="111">
        <v>0</v>
      </c>
      <c r="C554" s="111">
        <v>0</v>
      </c>
      <c r="D554" s="111">
        <v>0</v>
      </c>
      <c r="E554" s="111">
        <v>0</v>
      </c>
      <c r="F554" s="111">
        <v>0</v>
      </c>
    </row>
    <row r="555" spans="1:6">
      <c r="A555" s="231" t="s">
        <v>373</v>
      </c>
      <c r="B555" s="111">
        <v>0</v>
      </c>
      <c r="C555" s="111">
        <v>0</v>
      </c>
      <c r="D555" s="111">
        <v>0</v>
      </c>
      <c r="E555" s="111">
        <v>0</v>
      </c>
      <c r="F555" s="111">
        <v>0</v>
      </c>
    </row>
    <row r="556" spans="1:6">
      <c r="A556" s="231" t="s">
        <v>374</v>
      </c>
      <c r="B556" s="111">
        <v>0</v>
      </c>
      <c r="C556" s="111">
        <v>0</v>
      </c>
      <c r="D556" s="111">
        <v>0</v>
      </c>
      <c r="E556" s="111">
        <v>0</v>
      </c>
      <c r="F556" s="111">
        <v>0</v>
      </c>
    </row>
    <row r="557" spans="1:6">
      <c r="A557" s="231" t="s">
        <v>366</v>
      </c>
      <c r="B557" s="111">
        <v>248184</v>
      </c>
      <c r="C557" s="111">
        <v>86923</v>
      </c>
      <c r="D557" s="111">
        <v>172903</v>
      </c>
      <c r="E557" s="111">
        <v>131182</v>
      </c>
      <c r="F557" s="111">
        <v>410104</v>
      </c>
    </row>
    <row r="558" spans="1:6">
      <c r="A558" s="231" t="s">
        <v>409</v>
      </c>
      <c r="B558" s="111">
        <v>38733</v>
      </c>
      <c r="C558" s="111">
        <v>125000</v>
      </c>
      <c r="D558" s="111">
        <v>196359</v>
      </c>
      <c r="E558" s="111">
        <v>244270</v>
      </c>
      <c r="F558" s="111">
        <v>213014</v>
      </c>
    </row>
    <row r="559" spans="1:6">
      <c r="A559" s="231" t="s">
        <v>410</v>
      </c>
      <c r="B559" s="111">
        <v>313002</v>
      </c>
      <c r="C559" s="111">
        <v>396635</v>
      </c>
      <c r="D559" s="111">
        <v>484414</v>
      </c>
      <c r="E559" s="111">
        <v>608159</v>
      </c>
      <c r="F559" s="111">
        <v>517657</v>
      </c>
    </row>
    <row r="560" spans="1:6">
      <c r="A560" s="231" t="s">
        <v>285</v>
      </c>
      <c r="B560" s="111">
        <v>128568</v>
      </c>
      <c r="C560" s="111">
        <v>85469</v>
      </c>
      <c r="D560" s="111">
        <v>100545</v>
      </c>
      <c r="E560" s="111">
        <v>110777</v>
      </c>
      <c r="F560" s="111">
        <v>133439</v>
      </c>
    </row>
    <row r="561" spans="1:6">
      <c r="A561" s="231" t="s">
        <v>286</v>
      </c>
      <c r="B561" s="111">
        <v>294141</v>
      </c>
      <c r="C561" s="111">
        <v>459622</v>
      </c>
      <c r="D561" s="111">
        <v>600065</v>
      </c>
      <c r="E561" s="111">
        <v>904052</v>
      </c>
      <c r="F561" s="111">
        <v>920398</v>
      </c>
    </row>
    <row r="562" spans="1:6">
      <c r="A562" s="231" t="s">
        <v>289</v>
      </c>
      <c r="B562" s="111">
        <v>0</v>
      </c>
      <c r="C562" s="111">
        <v>0</v>
      </c>
      <c r="D562" s="111">
        <v>0</v>
      </c>
      <c r="E562" s="111">
        <v>0</v>
      </c>
      <c r="F562" s="111">
        <v>0</v>
      </c>
    </row>
    <row r="563" spans="1:6">
      <c r="A563" s="231" t="s">
        <v>290</v>
      </c>
      <c r="B563" s="111">
        <v>4555</v>
      </c>
      <c r="C563" s="111">
        <v>3617</v>
      </c>
      <c r="D563" s="111">
        <v>0</v>
      </c>
      <c r="E563" s="111">
        <v>8123</v>
      </c>
      <c r="F563" s="111">
        <v>5902</v>
      </c>
    </row>
    <row r="564" spans="1:6">
      <c r="A564" s="231" t="s">
        <v>291</v>
      </c>
      <c r="B564" s="111">
        <v>201048</v>
      </c>
      <c r="C564" s="111">
        <v>209014</v>
      </c>
      <c r="D564" s="111">
        <v>196944</v>
      </c>
      <c r="E564" s="111">
        <v>206267</v>
      </c>
      <c r="F564" s="111">
        <v>195552</v>
      </c>
    </row>
    <row r="565" spans="1:6">
      <c r="A565" s="231" t="s">
        <v>292</v>
      </c>
      <c r="B565" s="111">
        <v>28327</v>
      </c>
      <c r="C565" s="111">
        <v>21652</v>
      </c>
      <c r="D565" s="111">
        <v>33294</v>
      </c>
      <c r="E565" s="111">
        <v>126785</v>
      </c>
      <c r="F565" s="111">
        <v>179512</v>
      </c>
    </row>
    <row r="566" spans="1:6">
      <c r="A566" s="231" t="s">
        <v>293</v>
      </c>
      <c r="B566" s="111">
        <v>100826</v>
      </c>
      <c r="C566" s="111">
        <v>162305</v>
      </c>
      <c r="D566" s="111">
        <v>239285</v>
      </c>
      <c r="E566" s="111">
        <v>281391</v>
      </c>
      <c r="F566" s="111">
        <v>189766</v>
      </c>
    </row>
    <row r="567" spans="1:6">
      <c r="A567" s="231" t="s">
        <v>84</v>
      </c>
      <c r="B567" s="111">
        <v>0</v>
      </c>
      <c r="C567" s="111">
        <v>0</v>
      </c>
      <c r="D567" s="111">
        <v>0</v>
      </c>
      <c r="E567" s="111">
        <v>0</v>
      </c>
      <c r="F567" s="111">
        <v>0</v>
      </c>
    </row>
    <row r="568" spans="1:6">
      <c r="A568" s="231" t="s">
        <v>184</v>
      </c>
      <c r="B568" s="111">
        <v>324588</v>
      </c>
      <c r="C568" s="111">
        <v>364511</v>
      </c>
      <c r="D568" s="111">
        <v>346255</v>
      </c>
      <c r="E568" s="111">
        <v>422928</v>
      </c>
      <c r="F568" s="111">
        <v>331526</v>
      </c>
    </row>
    <row r="569" spans="1:6">
      <c r="A569" s="231" t="s">
        <v>185</v>
      </c>
      <c r="B569" s="111">
        <v>119825</v>
      </c>
      <c r="C569" s="111">
        <v>90777</v>
      </c>
      <c r="D569" s="111">
        <v>284579</v>
      </c>
      <c r="E569" s="111">
        <v>376600</v>
      </c>
      <c r="F569" s="111">
        <v>379336</v>
      </c>
    </row>
    <row r="570" spans="1:6">
      <c r="A570" s="231" t="s">
        <v>2</v>
      </c>
      <c r="B570" s="111">
        <v>71686</v>
      </c>
      <c r="C570" s="111">
        <v>66992</v>
      </c>
      <c r="D570" s="111">
        <v>83519</v>
      </c>
      <c r="E570" s="111">
        <v>145454</v>
      </c>
      <c r="F570" s="111">
        <v>363514</v>
      </c>
    </row>
    <row r="571" spans="1:6">
      <c r="A571" s="231" t="s">
        <v>3</v>
      </c>
      <c r="B571" s="111">
        <v>16625</v>
      </c>
      <c r="C571" s="111">
        <v>20190</v>
      </c>
      <c r="D571" s="111">
        <v>30440</v>
      </c>
      <c r="E571" s="111">
        <v>31113</v>
      </c>
      <c r="F571" s="111">
        <v>38707</v>
      </c>
    </row>
    <row r="572" spans="1:6">
      <c r="A572" s="231" t="s">
        <v>4</v>
      </c>
      <c r="B572" s="111">
        <v>0</v>
      </c>
      <c r="C572" s="111">
        <v>0</v>
      </c>
      <c r="D572" s="111">
        <v>0</v>
      </c>
      <c r="E572" s="111">
        <v>0</v>
      </c>
      <c r="F572" s="111">
        <v>0</v>
      </c>
    </row>
    <row r="573" spans="1:6">
      <c r="A573" s="231" t="s">
        <v>5</v>
      </c>
      <c r="B573" s="111">
        <v>0</v>
      </c>
      <c r="C573" s="111">
        <v>0</v>
      </c>
      <c r="D573" s="111">
        <v>0</v>
      </c>
      <c r="E573" s="111">
        <v>0</v>
      </c>
      <c r="F573" s="111">
        <v>0</v>
      </c>
    </row>
    <row r="574" spans="1:6">
      <c r="A574" s="231" t="s">
        <v>389</v>
      </c>
      <c r="B574" s="111">
        <v>239560</v>
      </c>
      <c r="C574" s="111">
        <v>240490</v>
      </c>
      <c r="D574" s="111">
        <v>248710</v>
      </c>
      <c r="E574" s="111">
        <v>257287</v>
      </c>
      <c r="F574" s="111">
        <v>266029</v>
      </c>
    </row>
    <row r="575" spans="1:6">
      <c r="A575" s="231" t="s">
        <v>390</v>
      </c>
      <c r="B575" s="111">
        <v>326794</v>
      </c>
      <c r="C575" s="111">
        <v>399363</v>
      </c>
      <c r="D575" s="111">
        <v>485148</v>
      </c>
      <c r="E575" s="111">
        <v>571272</v>
      </c>
      <c r="F575" s="111">
        <v>647676</v>
      </c>
    </row>
    <row r="576" spans="1:6">
      <c r="A576" s="302" t="s">
        <v>139</v>
      </c>
      <c r="B576" s="111">
        <v>0</v>
      </c>
      <c r="C576" s="111">
        <v>0</v>
      </c>
      <c r="D576" s="111">
        <v>0</v>
      </c>
      <c r="E576" s="111">
        <v>0</v>
      </c>
      <c r="F576" s="111">
        <v>0</v>
      </c>
    </row>
    <row r="580" spans="1:7">
      <c r="A580" s="229" t="s">
        <v>391</v>
      </c>
      <c r="B580" s="111" t="s">
        <v>27</v>
      </c>
      <c r="C580" s="111"/>
      <c r="D580" s="111" t="s">
        <v>28</v>
      </c>
      <c r="E580" s="111"/>
      <c r="F580" s="111"/>
      <c r="G580" s="11" t="s">
        <v>435</v>
      </c>
    </row>
    <row r="581" spans="1:7">
      <c r="A581" s="229" t="s">
        <v>132</v>
      </c>
      <c r="B581" s="111">
        <v>36184.237999999998</v>
      </c>
      <c r="C581" s="111"/>
      <c r="D581" s="111"/>
      <c r="E581" s="111"/>
      <c r="F581" s="111"/>
    </row>
    <row r="582" spans="1:7">
      <c r="A582" s="230" t="s">
        <v>74</v>
      </c>
      <c r="B582" s="254">
        <v>36890</v>
      </c>
      <c r="C582" s="254">
        <v>37255</v>
      </c>
      <c r="D582" s="254">
        <v>37620</v>
      </c>
      <c r="E582" s="254">
        <v>37985</v>
      </c>
      <c r="F582" s="254">
        <v>38351</v>
      </c>
    </row>
    <row r="583" spans="1:7">
      <c r="A583" s="231" t="s">
        <v>54</v>
      </c>
      <c r="B583" s="111">
        <v>651733.70600000001</v>
      </c>
      <c r="C583" s="111">
        <v>872581.37199999997</v>
      </c>
      <c r="D583" s="111">
        <v>821883.97199999995</v>
      </c>
      <c r="E583" s="111">
        <v>952756.772</v>
      </c>
      <c r="F583" s="111">
        <v>1005890.007</v>
      </c>
    </row>
    <row r="584" spans="1:7">
      <c r="A584" s="231" t="s">
        <v>283</v>
      </c>
      <c r="B584" s="111">
        <v>-421579.033</v>
      </c>
      <c r="C584" s="111">
        <v>-563858.80000000005</v>
      </c>
      <c r="D584" s="111">
        <v>-528199.09900000005</v>
      </c>
      <c r="E584" s="111">
        <v>-608867.87300000002</v>
      </c>
      <c r="F584" s="111">
        <v>-654520.54</v>
      </c>
    </row>
    <row r="585" spans="1:7">
      <c r="A585" s="231" t="s">
        <v>284</v>
      </c>
      <c r="B585" s="111">
        <v>-15.858000000000001</v>
      </c>
      <c r="C585" s="111">
        <v>0</v>
      </c>
      <c r="D585" s="111">
        <v>0</v>
      </c>
      <c r="E585" s="111">
        <v>0</v>
      </c>
      <c r="F585" s="111">
        <v>0</v>
      </c>
    </row>
    <row r="586" spans="1:7">
      <c r="A586" s="231" t="s">
        <v>408</v>
      </c>
      <c r="B586" s="111">
        <v>-174363.723</v>
      </c>
      <c r="C586" s="111">
        <v>-233253.166</v>
      </c>
      <c r="D586" s="111">
        <v>-223527.13699999999</v>
      </c>
      <c r="E586" s="111">
        <v>-262509.68300000002</v>
      </c>
      <c r="F586" s="111">
        <v>-277137.38299999997</v>
      </c>
    </row>
    <row r="587" spans="1:7">
      <c r="A587" s="231" t="s">
        <v>175</v>
      </c>
      <c r="B587" s="111">
        <v>-12575.925999999999</v>
      </c>
      <c r="C587" s="111">
        <v>-17407.505000000001</v>
      </c>
      <c r="D587" s="111">
        <v>-16495.322</v>
      </c>
      <c r="E587" s="111">
        <v>-20813.794000000002</v>
      </c>
      <c r="F587" s="111">
        <v>-23708.455000000002</v>
      </c>
    </row>
    <row r="588" spans="1:7">
      <c r="A588" s="231" t="s">
        <v>176</v>
      </c>
      <c r="B588" s="111">
        <v>-4537.2790000000005</v>
      </c>
      <c r="C588" s="111">
        <v>-6317.3320000000003</v>
      </c>
      <c r="D588" s="111">
        <v>-5003.9520000000002</v>
      </c>
      <c r="E588" s="111">
        <v>-5198.5749999999998</v>
      </c>
      <c r="F588" s="111">
        <v>-5932.7039999999997</v>
      </c>
    </row>
    <row r="589" spans="1:7">
      <c r="A589" s="231" t="s">
        <v>177</v>
      </c>
      <c r="B589" s="111">
        <v>171.84200000000001</v>
      </c>
      <c r="C589" s="111">
        <v>-2556.4609999999998</v>
      </c>
      <c r="D589" s="111">
        <v>178.07</v>
      </c>
      <c r="E589" s="111">
        <v>-3610.1190000000001</v>
      </c>
      <c r="F589" s="111">
        <v>-23980.199000000001</v>
      </c>
    </row>
    <row r="590" spans="1:7">
      <c r="A590" s="231" t="s">
        <v>162</v>
      </c>
      <c r="B590" s="111">
        <v>-15398.224</v>
      </c>
      <c r="C590" s="111">
        <v>-18753.2</v>
      </c>
      <c r="D590" s="111">
        <v>-19677.003000000001</v>
      </c>
      <c r="E590" s="111">
        <v>-21873.013999999999</v>
      </c>
      <c r="F590" s="111">
        <v>-13576.599</v>
      </c>
    </row>
    <row r="591" spans="1:7">
      <c r="A591" s="231" t="s">
        <v>163</v>
      </c>
      <c r="B591" s="111">
        <v>0</v>
      </c>
      <c r="C591" s="111">
        <v>0</v>
      </c>
      <c r="D591" s="111">
        <v>0</v>
      </c>
      <c r="E591" s="111">
        <v>0</v>
      </c>
      <c r="F591" s="111">
        <v>0</v>
      </c>
    </row>
    <row r="592" spans="1:7">
      <c r="A592" s="231" t="s">
        <v>372</v>
      </c>
      <c r="B592" s="111">
        <v>0</v>
      </c>
      <c r="C592" s="111">
        <v>0</v>
      </c>
      <c r="D592" s="111">
        <v>0</v>
      </c>
      <c r="E592" s="111">
        <v>0</v>
      </c>
      <c r="F592" s="111">
        <v>0</v>
      </c>
    </row>
    <row r="593" spans="1:6">
      <c r="A593" s="231" t="s">
        <v>373</v>
      </c>
      <c r="B593" s="111">
        <v>0</v>
      </c>
      <c r="C593" s="111">
        <v>0</v>
      </c>
      <c r="D593" s="111">
        <v>0</v>
      </c>
      <c r="E593" s="111">
        <v>0</v>
      </c>
      <c r="F593" s="111">
        <v>0</v>
      </c>
    </row>
    <row r="594" spans="1:6">
      <c r="A594" s="231" t="s">
        <v>374</v>
      </c>
      <c r="B594" s="111">
        <v>0</v>
      </c>
      <c r="C594" s="111">
        <v>0</v>
      </c>
      <c r="D594" s="111">
        <v>0</v>
      </c>
      <c r="E594" s="111">
        <v>0</v>
      </c>
      <c r="F594" s="111">
        <v>0</v>
      </c>
    </row>
    <row r="595" spans="1:6">
      <c r="A595" s="231" t="s">
        <v>366</v>
      </c>
      <c r="B595" s="111">
        <v>42631.72</v>
      </c>
      <c r="C595" s="111">
        <v>25177.026000000002</v>
      </c>
      <c r="D595" s="111">
        <v>38845.574000000001</v>
      </c>
      <c r="E595" s="111">
        <v>23553.183000000001</v>
      </c>
      <c r="F595" s="111">
        <v>58037.453000000001</v>
      </c>
    </row>
    <row r="596" spans="1:6">
      <c r="A596" s="231" t="s">
        <v>409</v>
      </c>
      <c r="B596" s="111">
        <v>11655.763000000001</v>
      </c>
      <c r="C596" s="111">
        <v>25126.684000000001</v>
      </c>
      <c r="D596" s="111">
        <v>30569.205000000002</v>
      </c>
      <c r="E596" s="111">
        <v>38122.911</v>
      </c>
      <c r="F596" s="111">
        <v>33991.864999999998</v>
      </c>
    </row>
    <row r="597" spans="1:6">
      <c r="A597" s="231" t="s">
        <v>410</v>
      </c>
      <c r="B597" s="111">
        <v>144192.48300000001</v>
      </c>
      <c r="C597" s="111">
        <v>194027.092</v>
      </c>
      <c r="D597" s="111">
        <v>185408.239</v>
      </c>
      <c r="E597" s="111">
        <v>235144.421</v>
      </c>
      <c r="F597" s="111">
        <v>220260.80900000001</v>
      </c>
    </row>
    <row r="598" spans="1:6">
      <c r="A598" s="231" t="s">
        <v>285</v>
      </c>
      <c r="B598" s="111">
        <v>22475.555</v>
      </c>
      <c r="C598" s="111">
        <v>18524.681</v>
      </c>
      <c r="D598" s="111">
        <v>20651.079000000002</v>
      </c>
      <c r="E598" s="111">
        <v>25673.044999999998</v>
      </c>
      <c r="F598" s="111">
        <v>26658.794000000002</v>
      </c>
    </row>
    <row r="599" spans="1:6">
      <c r="A599" s="231" t="s">
        <v>286</v>
      </c>
      <c r="B599" s="111">
        <v>99331.995999999999</v>
      </c>
      <c r="C599" s="111">
        <v>144467.899</v>
      </c>
      <c r="D599" s="111">
        <v>143097.48199999999</v>
      </c>
      <c r="E599" s="111">
        <v>191862.62400000001</v>
      </c>
      <c r="F599" s="111">
        <v>195646.75599999999</v>
      </c>
    </row>
    <row r="600" spans="1:6">
      <c r="A600" s="231" t="s">
        <v>289</v>
      </c>
      <c r="B600" s="111">
        <v>0</v>
      </c>
      <c r="C600" s="111">
        <v>0</v>
      </c>
      <c r="D600" s="111">
        <v>0</v>
      </c>
      <c r="E600" s="111">
        <v>0</v>
      </c>
      <c r="F600" s="111">
        <v>0</v>
      </c>
    </row>
    <row r="601" spans="1:6">
      <c r="A601" s="231" t="s">
        <v>290</v>
      </c>
      <c r="B601" s="111">
        <v>31898.416000000001</v>
      </c>
      <c r="C601" s="111">
        <v>36124.370000000003</v>
      </c>
      <c r="D601" s="111">
        <v>28497.123</v>
      </c>
      <c r="E601" s="111">
        <v>50143.322999999997</v>
      </c>
      <c r="F601" s="111">
        <v>33253.074000000001</v>
      </c>
    </row>
    <row r="602" spans="1:6">
      <c r="A602" s="231" t="s">
        <v>291</v>
      </c>
      <c r="B602" s="111">
        <v>30887.932000000001</v>
      </c>
      <c r="C602" s="111">
        <v>37687.222000000002</v>
      </c>
      <c r="D602" s="111">
        <v>29621.291000000001</v>
      </c>
      <c r="E602" s="111">
        <v>28501.988000000001</v>
      </c>
      <c r="F602" s="111">
        <v>35707.294999999998</v>
      </c>
    </row>
    <row r="603" spans="1:6">
      <c r="A603" s="231" t="s">
        <v>292</v>
      </c>
      <c r="B603" s="111">
        <v>4837.9790000000003</v>
      </c>
      <c r="C603" s="111">
        <v>4403.7479999999996</v>
      </c>
      <c r="D603" s="111">
        <v>9047.4830000000002</v>
      </c>
      <c r="E603" s="111">
        <v>21658.636999999999</v>
      </c>
      <c r="F603" s="111">
        <v>23771.798999999999</v>
      </c>
    </row>
    <row r="604" spans="1:6">
      <c r="A604" s="231" t="s">
        <v>293</v>
      </c>
      <c r="B604" s="111">
        <v>62191.097999999998</v>
      </c>
      <c r="C604" s="111">
        <v>85743.664999999994</v>
      </c>
      <c r="D604" s="111">
        <v>82179.081999999995</v>
      </c>
      <c r="E604" s="111">
        <v>99913.777000000002</v>
      </c>
      <c r="F604" s="111">
        <v>79342.813999999998</v>
      </c>
    </row>
    <row r="605" spans="1:6">
      <c r="A605" s="231" t="s">
        <v>84</v>
      </c>
      <c r="B605" s="111">
        <v>0</v>
      </c>
      <c r="C605" s="111">
        <v>0</v>
      </c>
      <c r="D605" s="111">
        <v>0</v>
      </c>
      <c r="E605" s="111">
        <v>0</v>
      </c>
      <c r="F605" s="111">
        <v>0</v>
      </c>
    </row>
    <row r="606" spans="1:6">
      <c r="A606" s="231" t="s">
        <v>184</v>
      </c>
      <c r="B606" s="111">
        <v>75926.752999999997</v>
      </c>
      <c r="C606" s="111">
        <v>97766.342000000004</v>
      </c>
      <c r="D606" s="111">
        <v>83285.201000000001</v>
      </c>
      <c r="E606" s="111">
        <v>105453.291</v>
      </c>
      <c r="F606" s="111">
        <v>85202.701000000001</v>
      </c>
    </row>
    <row r="607" spans="1:6">
      <c r="A607" s="231" t="s">
        <v>185</v>
      </c>
      <c r="B607" s="111">
        <v>70604.457999999999</v>
      </c>
      <c r="C607" s="111">
        <v>66984.186000000002</v>
      </c>
      <c r="D607" s="111">
        <v>62412.58</v>
      </c>
      <c r="E607" s="111">
        <v>75812.085999999996</v>
      </c>
      <c r="F607" s="111">
        <v>81123.403999999995</v>
      </c>
    </row>
    <row r="608" spans="1:6">
      <c r="A608" s="231" t="s">
        <v>2</v>
      </c>
      <c r="B608" s="111">
        <v>24749.545999999998</v>
      </c>
      <c r="C608" s="111">
        <v>31115.634999999998</v>
      </c>
      <c r="D608" s="111">
        <v>33826.571000000004</v>
      </c>
      <c r="E608" s="111">
        <v>47817.57</v>
      </c>
      <c r="F608" s="111">
        <v>78890.667000000001</v>
      </c>
    </row>
    <row r="609" spans="1:7">
      <c r="A609" s="231" t="s">
        <v>3</v>
      </c>
      <c r="B609" s="111">
        <v>2408.625</v>
      </c>
      <c r="C609" s="111">
        <v>2884.2860000000001</v>
      </c>
      <c r="D609" s="111">
        <v>3517.556</v>
      </c>
      <c r="E609" s="111">
        <v>3675.556</v>
      </c>
      <c r="F609" s="111">
        <v>6263.7539999999999</v>
      </c>
    </row>
    <row r="610" spans="1:7">
      <c r="A610" s="231" t="s">
        <v>4</v>
      </c>
      <c r="B610" s="111">
        <v>0</v>
      </c>
      <c r="C610" s="111">
        <v>0</v>
      </c>
      <c r="D610" s="111">
        <v>4.6669999999999998</v>
      </c>
      <c r="E610" s="111">
        <v>0.44400000000000001</v>
      </c>
      <c r="F610" s="111">
        <v>0.44400000000000001</v>
      </c>
    </row>
    <row r="611" spans="1:7">
      <c r="A611" s="231" t="s">
        <v>5</v>
      </c>
      <c r="B611" s="111">
        <v>375.82900000000001</v>
      </c>
      <c r="C611" s="111">
        <v>0</v>
      </c>
      <c r="D611" s="111">
        <v>0</v>
      </c>
      <c r="E611" s="111">
        <v>0</v>
      </c>
      <c r="F611" s="111">
        <v>0</v>
      </c>
    </row>
    <row r="612" spans="1:7">
      <c r="A612" s="231" t="s">
        <v>389</v>
      </c>
      <c r="B612" s="111">
        <v>83749.216</v>
      </c>
      <c r="C612" s="111">
        <v>96119.369000000006</v>
      </c>
      <c r="D612" s="111">
        <v>94619.694000000003</v>
      </c>
      <c r="E612" s="111">
        <v>102423.942</v>
      </c>
      <c r="F612" s="111">
        <v>106571.63</v>
      </c>
    </row>
    <row r="613" spans="1:7">
      <c r="A613" s="231" t="s">
        <v>390</v>
      </c>
      <c r="B613" s="111">
        <v>58230.36</v>
      </c>
      <c r="C613" s="111">
        <v>96117.743000000002</v>
      </c>
      <c r="D613" s="111">
        <v>107797.16099999999</v>
      </c>
      <c r="E613" s="111">
        <v>136246.193</v>
      </c>
      <c r="F613" s="111">
        <v>142388.94200000001</v>
      </c>
    </row>
    <row r="614" spans="1:7">
      <c r="A614" s="302" t="s">
        <v>139</v>
      </c>
      <c r="B614" s="111">
        <v>198.375</v>
      </c>
      <c r="C614" s="111">
        <v>907</v>
      </c>
      <c r="D614" s="111">
        <v>857.44399999999996</v>
      </c>
      <c r="E614" s="111">
        <v>897.77800000000002</v>
      </c>
      <c r="F614" s="111">
        <v>864.55600000000004</v>
      </c>
    </row>
    <row r="618" spans="1:7">
      <c r="A618" s="7" t="s">
        <v>412</v>
      </c>
      <c r="B618" s="299" t="s">
        <v>137</v>
      </c>
      <c r="C618" s="300"/>
      <c r="D618" s="218" t="s">
        <v>138</v>
      </c>
      <c r="E618" s="218"/>
      <c r="F618" s="218"/>
      <c r="G618" s="11" t="s">
        <v>435</v>
      </c>
    </row>
    <row r="619" spans="1:7">
      <c r="A619" s="7" t="s">
        <v>325</v>
      </c>
      <c r="B619" s="112">
        <v>1346227</v>
      </c>
      <c r="C619" s="218"/>
      <c r="D619" s="218"/>
      <c r="E619" s="218"/>
      <c r="F619" s="218"/>
    </row>
    <row r="620" spans="1:7">
      <c r="A620" s="230" t="s">
        <v>74</v>
      </c>
      <c r="B620" s="254">
        <v>35794</v>
      </c>
      <c r="C620" s="254">
        <v>36159</v>
      </c>
      <c r="D620" s="254">
        <v>36524</v>
      </c>
      <c r="E620" s="254">
        <v>36890</v>
      </c>
      <c r="F620" s="254">
        <v>37255</v>
      </c>
    </row>
    <row r="621" spans="1:7">
      <c r="A621" s="7" t="s">
        <v>503</v>
      </c>
      <c r="B621" s="255">
        <v>0</v>
      </c>
      <c r="C621" s="255">
        <v>805</v>
      </c>
      <c r="D621" s="255">
        <v>12872</v>
      </c>
      <c r="E621" s="255">
        <v>66854</v>
      </c>
      <c r="F621" s="255">
        <v>242245</v>
      </c>
    </row>
    <row r="622" spans="1:7">
      <c r="A622" s="7" t="s">
        <v>537</v>
      </c>
      <c r="B622" s="111">
        <v>-47464</v>
      </c>
      <c r="C622" s="111">
        <v>-69898</v>
      </c>
      <c r="D622" s="111">
        <v>-86774</v>
      </c>
      <c r="E622" s="111">
        <v>-120914</v>
      </c>
      <c r="F622" s="111">
        <v>-184943</v>
      </c>
    </row>
    <row r="623" spans="1:7">
      <c r="A623" s="7" t="s">
        <v>538</v>
      </c>
      <c r="B623" s="111">
        <v>-47794</v>
      </c>
      <c r="C623" s="111">
        <v>-30087</v>
      </c>
      <c r="D623" s="111">
        <v>-24534</v>
      </c>
      <c r="E623" s="111">
        <v>-30520</v>
      </c>
      <c r="F623" s="111">
        <v>-44745</v>
      </c>
    </row>
    <row r="624" spans="1:7">
      <c r="A624" s="7" t="s">
        <v>505</v>
      </c>
      <c r="B624" s="111">
        <v>-64146</v>
      </c>
      <c r="C624" s="111">
        <v>-131200</v>
      </c>
      <c r="D624" s="111">
        <v>-243741</v>
      </c>
      <c r="E624" s="111">
        <v>-498354</v>
      </c>
      <c r="F624" s="111">
        <v>-743142</v>
      </c>
    </row>
    <row r="625" spans="1:6">
      <c r="A625" s="7" t="s">
        <v>546</v>
      </c>
      <c r="B625" s="111">
        <v>-9052</v>
      </c>
      <c r="C625" s="111">
        <v>-82747</v>
      </c>
      <c r="D625" s="111">
        <v>-95353</v>
      </c>
      <c r="E625" s="111">
        <v>-95370</v>
      </c>
      <c r="F625" s="111">
        <v>-98555</v>
      </c>
    </row>
    <row r="626" spans="1:6">
      <c r="A626" s="7" t="s">
        <v>547</v>
      </c>
      <c r="B626" s="111">
        <v>-89686</v>
      </c>
      <c r="C626" s="111">
        <v>-106163</v>
      </c>
      <c r="D626" s="111">
        <v>-50510</v>
      </c>
      <c r="E626" s="111">
        <v>-41386</v>
      </c>
      <c r="F626" s="111">
        <v>-45361</v>
      </c>
    </row>
    <row r="627" spans="1:6">
      <c r="A627" s="7" t="s">
        <v>548</v>
      </c>
      <c r="B627" s="111">
        <v>22379</v>
      </c>
      <c r="C627" s="111">
        <v>-3191</v>
      </c>
      <c r="D627" s="111">
        <v>261825</v>
      </c>
      <c r="E627" s="111">
        <v>11729</v>
      </c>
      <c r="F627" s="111">
        <v>13815</v>
      </c>
    </row>
    <row r="628" spans="1:6">
      <c r="A628" s="7" t="s">
        <v>549</v>
      </c>
      <c r="B628" s="111">
        <v>0</v>
      </c>
      <c r="C628" s="111">
        <v>0</v>
      </c>
      <c r="D628" s="111">
        <v>0</v>
      </c>
      <c r="E628" s="111">
        <v>-4201</v>
      </c>
      <c r="F628" s="111">
        <v>-2311</v>
      </c>
    </row>
    <row r="629" spans="1:6">
      <c r="A629" s="7" t="s">
        <v>424</v>
      </c>
      <c r="B629" s="111">
        <v>0</v>
      </c>
      <c r="C629" s="111">
        <v>0</v>
      </c>
      <c r="D629" s="111">
        <v>0</v>
      </c>
      <c r="E629" s="111">
        <v>0</v>
      </c>
      <c r="F629" s="111">
        <v>0</v>
      </c>
    </row>
    <row r="630" spans="1:6">
      <c r="A630" s="7" t="s">
        <v>425</v>
      </c>
      <c r="B630" s="111">
        <v>0</v>
      </c>
      <c r="C630" s="111">
        <v>0</v>
      </c>
      <c r="D630" s="111">
        <v>0</v>
      </c>
      <c r="E630" s="111">
        <v>0</v>
      </c>
      <c r="F630" s="111">
        <v>0</v>
      </c>
    </row>
    <row r="631" spans="1:6">
      <c r="A631" s="7" t="s">
        <v>453</v>
      </c>
      <c r="B631" s="111">
        <v>0</v>
      </c>
      <c r="C631" s="111">
        <v>0</v>
      </c>
      <c r="D631" s="111">
        <v>0</v>
      </c>
      <c r="E631" s="111">
        <v>0</v>
      </c>
      <c r="F631" s="111">
        <v>0</v>
      </c>
    </row>
    <row r="632" spans="1:6">
      <c r="A632" s="7" t="s">
        <v>454</v>
      </c>
      <c r="B632" s="111">
        <v>0</v>
      </c>
      <c r="C632" s="111">
        <v>0</v>
      </c>
      <c r="D632" s="111">
        <v>0</v>
      </c>
      <c r="E632" s="111">
        <v>0</v>
      </c>
      <c r="F632" s="111">
        <v>0</v>
      </c>
    </row>
    <row r="633" spans="1:6">
      <c r="A633" s="7" t="s">
        <v>455</v>
      </c>
      <c r="B633" s="111">
        <v>323742</v>
      </c>
      <c r="C633" s="111">
        <v>173702</v>
      </c>
      <c r="D633" s="111">
        <v>551880</v>
      </c>
      <c r="E633" s="111">
        <v>763874</v>
      </c>
      <c r="F633" s="111">
        <v>904422</v>
      </c>
    </row>
    <row r="634" spans="1:6">
      <c r="A634" s="7" t="s">
        <v>198</v>
      </c>
      <c r="B634" s="111">
        <v>0</v>
      </c>
      <c r="C634" s="111">
        <v>0</v>
      </c>
      <c r="D634" s="111">
        <v>0</v>
      </c>
      <c r="E634" s="111">
        <v>0</v>
      </c>
      <c r="F634" s="111">
        <v>31688</v>
      </c>
    </row>
    <row r="635" spans="1:6">
      <c r="A635" s="7" t="s">
        <v>199</v>
      </c>
      <c r="B635" s="111">
        <v>0</v>
      </c>
      <c r="C635" s="111">
        <v>0</v>
      </c>
      <c r="D635" s="111">
        <v>0</v>
      </c>
      <c r="E635" s="111">
        <v>0</v>
      </c>
      <c r="F635" s="111">
        <v>14256</v>
      </c>
    </row>
    <row r="636" spans="1:6">
      <c r="A636" s="7" t="s">
        <v>200</v>
      </c>
      <c r="B636" s="111">
        <v>12303</v>
      </c>
      <c r="C636" s="111">
        <v>25907</v>
      </c>
      <c r="D636" s="111">
        <v>27784</v>
      </c>
      <c r="E636" s="111">
        <v>47166</v>
      </c>
      <c r="F636" s="111">
        <v>61082</v>
      </c>
    </row>
    <row r="637" spans="1:6">
      <c r="A637" s="7" t="s">
        <v>192</v>
      </c>
      <c r="B637" s="111">
        <v>1082915</v>
      </c>
      <c r="C637" s="111">
        <v>1032874</v>
      </c>
      <c r="D637" s="111">
        <v>941052</v>
      </c>
      <c r="E637" s="111">
        <v>881280</v>
      </c>
      <c r="F637" s="111">
        <v>828357</v>
      </c>
    </row>
    <row r="638" spans="1:6">
      <c r="A638" s="7" t="s">
        <v>193</v>
      </c>
      <c r="B638" s="111">
        <v>7200</v>
      </c>
      <c r="C638" s="111">
        <v>7200</v>
      </c>
      <c r="D638" s="111">
        <v>6750</v>
      </c>
      <c r="E638" s="111">
        <v>92615</v>
      </c>
      <c r="F638" s="111">
        <v>82450</v>
      </c>
    </row>
    <row r="639" spans="1:6">
      <c r="A639" s="7" t="s">
        <v>194</v>
      </c>
      <c r="B639" s="111">
        <v>83654</v>
      </c>
      <c r="C639" s="111">
        <v>83654</v>
      </c>
      <c r="D639" s="111">
        <v>83654</v>
      </c>
      <c r="E639" s="111">
        <v>83654</v>
      </c>
      <c r="F639" s="111">
        <v>83654</v>
      </c>
    </row>
    <row r="640" spans="1:6">
      <c r="A640" s="7" t="s">
        <v>442</v>
      </c>
      <c r="B640" s="111">
        <v>17791</v>
      </c>
      <c r="C640" s="111">
        <v>17603</v>
      </c>
      <c r="D640" s="111">
        <v>6197</v>
      </c>
      <c r="E640" s="111">
        <v>89024</v>
      </c>
      <c r="F640" s="111">
        <v>79453</v>
      </c>
    </row>
    <row r="641" spans="1:7">
      <c r="A641" s="7" t="s">
        <v>443</v>
      </c>
      <c r="B641" s="111">
        <v>0</v>
      </c>
      <c r="C641" s="111">
        <v>0</v>
      </c>
      <c r="D641" s="111">
        <v>0</v>
      </c>
      <c r="E641" s="111">
        <v>0</v>
      </c>
      <c r="F641" s="111">
        <v>0</v>
      </c>
    </row>
    <row r="642" spans="1:7">
      <c r="A642" s="7" t="s">
        <v>444</v>
      </c>
      <c r="B642" s="111">
        <v>39836</v>
      </c>
      <c r="C642" s="111">
        <v>43336</v>
      </c>
      <c r="D642" s="111">
        <v>65919</v>
      </c>
      <c r="E642" s="111">
        <v>5525</v>
      </c>
      <c r="F642" s="111">
        <v>6829</v>
      </c>
    </row>
    <row r="643" spans="1:7">
      <c r="A643" s="7" t="s">
        <v>231</v>
      </c>
      <c r="B643" s="111">
        <v>0</v>
      </c>
      <c r="C643" s="111">
        <v>0</v>
      </c>
      <c r="D643" s="111">
        <v>0</v>
      </c>
      <c r="E643" s="111">
        <v>0</v>
      </c>
      <c r="F643" s="111">
        <v>0</v>
      </c>
    </row>
    <row r="644" spans="1:7">
      <c r="A644" s="7" t="s">
        <v>388</v>
      </c>
      <c r="B644" s="111">
        <v>20477</v>
      </c>
      <c r="C644" s="111">
        <v>4984</v>
      </c>
      <c r="D644" s="111">
        <v>16084</v>
      </c>
      <c r="E644" s="111">
        <v>263989</v>
      </c>
      <c r="F644" s="111">
        <v>600138</v>
      </c>
    </row>
    <row r="645" spans="1:7">
      <c r="A645" s="7" t="s">
        <v>482</v>
      </c>
      <c r="B645" s="111">
        <v>639990</v>
      </c>
      <c r="C645" s="111">
        <v>670357</v>
      </c>
      <c r="D645" s="111">
        <v>194803</v>
      </c>
      <c r="E645" s="111">
        <v>656274</v>
      </c>
      <c r="F645" s="111">
        <v>1084437</v>
      </c>
    </row>
    <row r="646" spans="1:7">
      <c r="A646" s="7" t="s">
        <v>383</v>
      </c>
      <c r="B646" s="111">
        <v>19485</v>
      </c>
      <c r="C646" s="111">
        <v>54264</v>
      </c>
      <c r="D646" s="111">
        <v>11593</v>
      </c>
      <c r="E646" s="111">
        <v>15501</v>
      </c>
      <c r="F646" s="111">
        <v>12511</v>
      </c>
    </row>
    <row r="647" spans="1:7">
      <c r="A647" s="7" t="s">
        <v>384</v>
      </c>
      <c r="B647" s="111">
        <v>0</v>
      </c>
      <c r="C647" s="111">
        <v>0</v>
      </c>
      <c r="D647" s="111">
        <v>3724</v>
      </c>
      <c r="E647" s="111">
        <v>15691</v>
      </c>
      <c r="F647" s="111">
        <v>56479</v>
      </c>
    </row>
    <row r="648" spans="1:7">
      <c r="A648" s="7" t="s">
        <v>385</v>
      </c>
      <c r="B648" s="111">
        <v>0</v>
      </c>
      <c r="C648" s="111">
        <v>0</v>
      </c>
      <c r="D648" s="111">
        <v>0</v>
      </c>
      <c r="E648" s="111">
        <v>0</v>
      </c>
      <c r="F648" s="111">
        <v>0</v>
      </c>
    </row>
    <row r="649" spans="1:7">
      <c r="A649" s="7" t="s">
        <v>48</v>
      </c>
      <c r="B649" s="111">
        <v>485168</v>
      </c>
      <c r="C649" s="111">
        <v>531153</v>
      </c>
      <c r="D649" s="111">
        <v>0</v>
      </c>
      <c r="E649" s="111">
        <v>0</v>
      </c>
      <c r="F649" s="111">
        <v>0</v>
      </c>
    </row>
    <row r="650" spans="1:7">
      <c r="A650" s="7" t="s">
        <v>150</v>
      </c>
      <c r="B650" s="111">
        <v>827647</v>
      </c>
      <c r="C650" s="111">
        <v>964325</v>
      </c>
      <c r="D650" s="111">
        <v>2478888</v>
      </c>
      <c r="E650" s="111">
        <v>2866489</v>
      </c>
      <c r="F650" s="111">
        <v>3053821</v>
      </c>
    </row>
    <row r="651" spans="1:7">
      <c r="A651" s="7" t="s">
        <v>151</v>
      </c>
      <c r="B651" s="111">
        <v>-504998</v>
      </c>
      <c r="C651" s="111">
        <v>-927479</v>
      </c>
      <c r="D651" s="111">
        <v>-1153694</v>
      </c>
      <c r="E651" s="111">
        <v>-1865856</v>
      </c>
      <c r="F651" s="111">
        <v>-2728853</v>
      </c>
    </row>
    <row r="652" spans="1:7">
      <c r="A652" s="7" t="s">
        <v>139</v>
      </c>
      <c r="B652" s="111">
        <v>0</v>
      </c>
      <c r="C652" s="111">
        <v>0</v>
      </c>
      <c r="D652" s="111">
        <v>0</v>
      </c>
      <c r="E652" s="111">
        <v>0</v>
      </c>
      <c r="F652" s="111">
        <v>0</v>
      </c>
    </row>
    <row r="656" spans="1:7">
      <c r="A656" s="7" t="s">
        <v>412</v>
      </c>
      <c r="B656" s="111" t="s">
        <v>69</v>
      </c>
      <c r="C656" s="111"/>
      <c r="D656" s="111" t="s">
        <v>70</v>
      </c>
      <c r="E656" s="111"/>
      <c r="F656" s="111"/>
      <c r="G656" s="11" t="s">
        <v>435</v>
      </c>
    </row>
    <row r="657" spans="1:6">
      <c r="A657" s="7" t="s">
        <v>325</v>
      </c>
      <c r="B657" s="111">
        <v>1979509</v>
      </c>
      <c r="C657" s="111"/>
      <c r="D657" s="111"/>
      <c r="E657" s="111"/>
      <c r="F657" s="111"/>
    </row>
    <row r="658" spans="1:6">
      <c r="A658" s="256" t="s">
        <v>74</v>
      </c>
      <c r="B658" s="254">
        <v>36890</v>
      </c>
      <c r="C658" s="254">
        <v>37255</v>
      </c>
      <c r="D658" s="254">
        <v>37620</v>
      </c>
      <c r="E658" s="254">
        <v>37985</v>
      </c>
      <c r="F658" s="254">
        <v>38351</v>
      </c>
    </row>
    <row r="659" spans="1:6">
      <c r="A659" s="7" t="s">
        <v>503</v>
      </c>
      <c r="B659" s="111">
        <v>71283000</v>
      </c>
      <c r="C659" s="111">
        <v>75112000</v>
      </c>
      <c r="D659" s="111">
        <v>88144000</v>
      </c>
      <c r="E659" s="111">
        <v>93469000</v>
      </c>
      <c r="F659" s="111">
        <v>97354000</v>
      </c>
    </row>
    <row r="660" spans="1:6">
      <c r="A660" s="7" t="s">
        <v>537</v>
      </c>
      <c r="B660" s="111">
        <v>-23168000</v>
      </c>
      <c r="C660" s="111">
        <v>-25469000</v>
      </c>
      <c r="D660" s="111">
        <v>-34994000</v>
      </c>
      <c r="E660" s="111">
        <v>-37547000</v>
      </c>
      <c r="F660" s="111">
        <v>-39007000</v>
      </c>
    </row>
    <row r="661" spans="1:6">
      <c r="A661" s="7" t="s">
        <v>538</v>
      </c>
      <c r="B661" s="111">
        <v>0</v>
      </c>
      <c r="C661" s="111">
        <v>0</v>
      </c>
      <c r="D661" s="111">
        <v>0</v>
      </c>
      <c r="E661" s="111">
        <v>0</v>
      </c>
      <c r="F661" s="111">
        <v>0</v>
      </c>
    </row>
    <row r="662" spans="1:6">
      <c r="A662" s="7" t="s">
        <v>505</v>
      </c>
      <c r="B662" s="111">
        <v>-21088000</v>
      </c>
      <c r="C662" s="111">
        <v>-21312000</v>
      </c>
      <c r="D662" s="111">
        <v>-25232000</v>
      </c>
      <c r="E662" s="111">
        <v>-25967000</v>
      </c>
      <c r="F662" s="111">
        <v>-26898000</v>
      </c>
    </row>
    <row r="663" spans="1:6">
      <c r="A663" s="7" t="s">
        <v>546</v>
      </c>
      <c r="B663" s="111">
        <v>-13910000</v>
      </c>
      <c r="C663" s="111">
        <v>-14047000</v>
      </c>
      <c r="D663" s="111">
        <v>-14545000</v>
      </c>
      <c r="E663" s="111">
        <v>-14377000</v>
      </c>
      <c r="F663" s="111">
        <v>-14565000</v>
      </c>
    </row>
    <row r="664" spans="1:6">
      <c r="A664" s="7" t="s">
        <v>547</v>
      </c>
      <c r="B664" s="111">
        <v>-2384000</v>
      </c>
      <c r="C664" s="111">
        <v>-2180000</v>
      </c>
      <c r="D664" s="111">
        <v>-2349000</v>
      </c>
      <c r="E664" s="111">
        <v>-1829000</v>
      </c>
      <c r="F664" s="111">
        <v>-1819000</v>
      </c>
    </row>
    <row r="665" spans="1:6">
      <c r="A665" s="7" t="s">
        <v>548</v>
      </c>
      <c r="B665" s="111">
        <v>1788000</v>
      </c>
      <c r="C665" s="111">
        <v>1548000</v>
      </c>
      <c r="D665" s="111">
        <v>1168000</v>
      </c>
      <c r="E665" s="111">
        <v>796000</v>
      </c>
      <c r="F665" s="111">
        <v>849000</v>
      </c>
    </row>
    <row r="666" spans="1:6">
      <c r="A666" s="7" t="s">
        <v>549</v>
      </c>
      <c r="B666" s="111">
        <v>-2851000</v>
      </c>
      <c r="C666" s="111">
        <v>-3210000</v>
      </c>
      <c r="D666" s="111">
        <v>-2674000</v>
      </c>
      <c r="E666" s="111">
        <v>-3982000</v>
      </c>
      <c r="F666" s="111">
        <v>-3331000</v>
      </c>
    </row>
    <row r="667" spans="1:6">
      <c r="A667" s="7" t="s">
        <v>424</v>
      </c>
      <c r="B667" s="111">
        <v>-2409000</v>
      </c>
      <c r="C667" s="111">
        <v>-3045000</v>
      </c>
      <c r="D667" s="111">
        <v>-4038000</v>
      </c>
      <c r="E667" s="111">
        <v>-5053000</v>
      </c>
      <c r="F667" s="111">
        <v>-6155000</v>
      </c>
    </row>
    <row r="668" spans="1:6">
      <c r="A668" s="7" t="s">
        <v>425</v>
      </c>
      <c r="B668" s="111">
        <v>0</v>
      </c>
      <c r="C668" s="111">
        <v>0</v>
      </c>
      <c r="D668" s="111">
        <v>-42000</v>
      </c>
      <c r="E668" s="111">
        <v>0</v>
      </c>
      <c r="F668" s="111">
        <v>0</v>
      </c>
    </row>
    <row r="669" spans="1:6">
      <c r="A669" s="7" t="s">
        <v>453</v>
      </c>
      <c r="B669" s="111">
        <v>570000</v>
      </c>
      <c r="C669" s="111">
        <v>0</v>
      </c>
      <c r="D669" s="111">
        <v>759000</v>
      </c>
      <c r="E669" s="111">
        <v>11000</v>
      </c>
      <c r="F669" s="111">
        <v>0</v>
      </c>
    </row>
    <row r="670" spans="1:6">
      <c r="A670" s="7" t="s">
        <v>454</v>
      </c>
      <c r="B670" s="111">
        <v>0</v>
      </c>
      <c r="C670" s="111">
        <v>0</v>
      </c>
      <c r="D670" s="111">
        <v>0</v>
      </c>
      <c r="E670" s="111">
        <v>0</v>
      </c>
      <c r="F670" s="111">
        <v>0</v>
      </c>
    </row>
    <row r="671" spans="1:6">
      <c r="A671" s="7" t="s">
        <v>455</v>
      </c>
      <c r="B671" s="111">
        <v>4547000</v>
      </c>
      <c r="C671" s="111">
        <v>3274000</v>
      </c>
      <c r="D671" s="111">
        <v>5653000</v>
      </c>
      <c r="E671" s="111">
        <v>3397000</v>
      </c>
      <c r="F671" s="111">
        <v>10291000</v>
      </c>
    </row>
    <row r="672" spans="1:6">
      <c r="A672" s="7" t="s">
        <v>198</v>
      </c>
      <c r="B672" s="111">
        <v>9801000</v>
      </c>
      <c r="C672" s="111">
        <v>9171000</v>
      </c>
      <c r="D672" s="111">
        <v>10891000</v>
      </c>
      <c r="E672" s="111">
        <v>11736000</v>
      </c>
      <c r="F672" s="111">
        <v>11703000</v>
      </c>
    </row>
    <row r="673" spans="1:6">
      <c r="A673" s="7" t="s">
        <v>199</v>
      </c>
      <c r="B673" s="111">
        <v>1535000</v>
      </c>
      <c r="C673" s="111">
        <v>1780000</v>
      </c>
      <c r="D673" s="111">
        <v>1514000</v>
      </c>
      <c r="E673" s="111">
        <v>1729000</v>
      </c>
      <c r="F673" s="111">
        <v>2092000</v>
      </c>
    </row>
    <row r="674" spans="1:6">
      <c r="A674" s="7" t="s">
        <v>200</v>
      </c>
      <c r="B674" s="111">
        <v>3596000</v>
      </c>
      <c r="C674" s="111">
        <v>2223000</v>
      </c>
      <c r="D674" s="111">
        <v>4480000</v>
      </c>
      <c r="E674" s="111">
        <v>1836000</v>
      </c>
      <c r="F674" s="111">
        <v>1989000</v>
      </c>
    </row>
    <row r="675" spans="1:6">
      <c r="A675" s="7" t="s">
        <v>192</v>
      </c>
      <c r="B675" s="111">
        <v>74124000</v>
      </c>
      <c r="C675" s="111">
        <v>75305000</v>
      </c>
      <c r="D675" s="111">
        <v>82356000</v>
      </c>
      <c r="E675" s="111">
        <v>85294000</v>
      </c>
      <c r="F675" s="111">
        <v>86546000</v>
      </c>
    </row>
    <row r="676" spans="1:6">
      <c r="A676" s="7" t="s">
        <v>193</v>
      </c>
      <c r="B676" s="111">
        <v>0</v>
      </c>
      <c r="C676" s="111">
        <v>0</v>
      </c>
      <c r="D676" s="111">
        <v>0</v>
      </c>
      <c r="E676" s="111">
        <v>0</v>
      </c>
      <c r="F676" s="111">
        <v>0</v>
      </c>
    </row>
    <row r="677" spans="1:6">
      <c r="A677" s="7" t="s">
        <v>194</v>
      </c>
      <c r="B677" s="111">
        <v>47448000</v>
      </c>
      <c r="C677" s="111">
        <v>52933000</v>
      </c>
      <c r="D677" s="111">
        <v>61754000</v>
      </c>
      <c r="E677" s="111">
        <v>61029000</v>
      </c>
      <c r="F677" s="111">
        <v>73208000</v>
      </c>
    </row>
    <row r="678" spans="1:6">
      <c r="A678" s="7" t="s">
        <v>442</v>
      </c>
      <c r="B678" s="111">
        <v>24907000</v>
      </c>
      <c r="C678" s="111">
        <v>23444000</v>
      </c>
      <c r="D678" s="111">
        <v>22156000</v>
      </c>
      <c r="E678" s="111">
        <v>21938000</v>
      </c>
      <c r="F678" s="111">
        <v>16523000</v>
      </c>
    </row>
    <row r="679" spans="1:6">
      <c r="A679" s="7" t="s">
        <v>443</v>
      </c>
      <c r="B679" s="111">
        <v>3593000</v>
      </c>
      <c r="C679" s="111">
        <v>7141000</v>
      </c>
      <c r="D679" s="111">
        <v>7715000</v>
      </c>
      <c r="E679" s="111">
        <v>2954000</v>
      </c>
      <c r="F679" s="111">
        <v>4993000</v>
      </c>
    </row>
    <row r="680" spans="1:6">
      <c r="A680" s="7" t="s">
        <v>444</v>
      </c>
      <c r="B680" s="111">
        <v>13177000</v>
      </c>
      <c r="C680" s="111">
        <v>12351000</v>
      </c>
      <c r="D680" s="111">
        <v>14320000</v>
      </c>
      <c r="E680" s="111">
        <v>4491000</v>
      </c>
      <c r="F680" s="111">
        <v>3856000</v>
      </c>
    </row>
    <row r="681" spans="1:6">
      <c r="A681" s="7" t="s">
        <v>231</v>
      </c>
      <c r="B681" s="111">
        <v>0</v>
      </c>
      <c r="C681" s="111">
        <v>0</v>
      </c>
      <c r="D681" s="111">
        <v>0</v>
      </c>
      <c r="E681" s="111">
        <v>0</v>
      </c>
      <c r="F681" s="111">
        <v>0</v>
      </c>
    </row>
    <row r="682" spans="1:6">
      <c r="A682" s="7" t="s">
        <v>388</v>
      </c>
      <c r="B682" s="111">
        <v>6359000</v>
      </c>
      <c r="C682" s="111">
        <v>5571000</v>
      </c>
      <c r="D682" s="111">
        <v>10245000</v>
      </c>
      <c r="E682" s="111">
        <v>17296000</v>
      </c>
      <c r="F682" s="111">
        <v>17057000</v>
      </c>
    </row>
    <row r="683" spans="1:6">
      <c r="A683" s="7" t="s">
        <v>482</v>
      </c>
      <c r="B683" s="111">
        <v>35674000</v>
      </c>
      <c r="C683" s="111">
        <v>31869000</v>
      </c>
      <c r="D683" s="111">
        <v>28646000</v>
      </c>
      <c r="E683" s="111">
        <v>28203000</v>
      </c>
      <c r="F683" s="111">
        <v>46959000</v>
      </c>
    </row>
    <row r="684" spans="1:6">
      <c r="A684" s="7" t="s">
        <v>383</v>
      </c>
      <c r="B684" s="111">
        <v>22010000</v>
      </c>
      <c r="C684" s="111">
        <v>22353000</v>
      </c>
      <c r="D684" s="111">
        <v>34736000</v>
      </c>
      <c r="E684" s="111">
        <v>36362000</v>
      </c>
      <c r="F684" s="111">
        <v>38813000</v>
      </c>
    </row>
    <row r="685" spans="1:6">
      <c r="A685" s="7" t="s">
        <v>384</v>
      </c>
      <c r="B685" s="111">
        <v>22532000</v>
      </c>
      <c r="C685" s="111">
        <v>22411000</v>
      </c>
      <c r="D685" s="111">
        <v>16270000</v>
      </c>
      <c r="E685" s="111">
        <v>14784000</v>
      </c>
      <c r="F685" s="111">
        <v>11769000</v>
      </c>
    </row>
    <row r="686" spans="1:6">
      <c r="A686" s="7" t="s">
        <v>385</v>
      </c>
      <c r="B686" s="111">
        <v>25053000</v>
      </c>
      <c r="C686" s="111">
        <v>26754000</v>
      </c>
      <c r="D686" s="111">
        <v>28337000</v>
      </c>
      <c r="E686" s="111">
        <v>32288000</v>
      </c>
      <c r="F686" s="111">
        <v>37199000</v>
      </c>
    </row>
    <row r="687" spans="1:6">
      <c r="A687" s="7" t="s">
        <v>48</v>
      </c>
      <c r="B687" s="111">
        <v>0</v>
      </c>
      <c r="C687" s="111">
        <v>0</v>
      </c>
      <c r="D687" s="111">
        <v>0</v>
      </c>
      <c r="E687" s="111">
        <v>0</v>
      </c>
      <c r="F687" s="111">
        <v>0</v>
      </c>
    </row>
    <row r="688" spans="1:6">
      <c r="A688" s="7" t="s">
        <v>150</v>
      </c>
      <c r="B688" s="111">
        <v>24576000</v>
      </c>
      <c r="C688" s="111">
        <v>23775000</v>
      </c>
      <c r="D688" s="111">
        <v>31211000</v>
      </c>
      <c r="E688" s="111">
        <v>32697000</v>
      </c>
      <c r="F688" s="111">
        <v>22456000</v>
      </c>
    </row>
    <row r="689" spans="1:7">
      <c r="A689" s="7" t="s">
        <v>151</v>
      </c>
      <c r="B689" s="111">
        <v>12984000</v>
      </c>
      <c r="C689" s="111">
        <v>15905000</v>
      </c>
      <c r="D689" s="111">
        <v>17324000</v>
      </c>
      <c r="E689" s="111">
        <v>17884000</v>
      </c>
      <c r="F689" s="111">
        <v>19250000</v>
      </c>
    </row>
    <row r="690" spans="1:7">
      <c r="A690" s="7" t="s">
        <v>139</v>
      </c>
      <c r="B690" s="111">
        <v>4262000</v>
      </c>
      <c r="C690" s="111">
        <v>4427000</v>
      </c>
      <c r="D690" s="111">
        <v>4719000</v>
      </c>
      <c r="E690" s="111">
        <v>4773000</v>
      </c>
      <c r="F690" s="111">
        <v>4994000</v>
      </c>
    </row>
    <row r="694" spans="1:7">
      <c r="A694" s="7" t="s">
        <v>412</v>
      </c>
      <c r="B694" s="299" t="s">
        <v>77</v>
      </c>
      <c r="C694" s="301"/>
      <c r="D694" s="218" t="s">
        <v>80</v>
      </c>
      <c r="E694" s="218"/>
      <c r="F694" s="218"/>
      <c r="G694" s="11" t="s">
        <v>435</v>
      </c>
    </row>
    <row r="695" spans="1:7">
      <c r="A695" s="7" t="s">
        <v>325</v>
      </c>
      <c r="B695" s="112">
        <v>899806</v>
      </c>
      <c r="C695" s="218"/>
      <c r="D695" s="218"/>
      <c r="E695" s="218"/>
      <c r="F695" s="218"/>
    </row>
    <row r="696" spans="1:7" ht="14" thickBot="1">
      <c r="A696" s="7" t="s">
        <v>74</v>
      </c>
      <c r="B696" s="268">
        <v>37157</v>
      </c>
      <c r="C696" s="268">
        <v>37528</v>
      </c>
      <c r="D696" s="268">
        <v>37892</v>
      </c>
      <c r="E696" s="268">
        <v>38256</v>
      </c>
      <c r="F696" s="268">
        <v>38620</v>
      </c>
    </row>
    <row r="697" spans="1:7">
      <c r="A697" s="7" t="s">
        <v>503</v>
      </c>
      <c r="B697" s="111">
        <v>13931000</v>
      </c>
      <c r="C697" s="111">
        <v>19315000</v>
      </c>
      <c r="D697" s="111">
        <v>24006000</v>
      </c>
      <c r="E697" s="111">
        <v>32479000</v>
      </c>
      <c r="F697" s="111">
        <v>36537000</v>
      </c>
    </row>
    <row r="698" spans="1:7">
      <c r="A698" s="7" t="s">
        <v>537</v>
      </c>
      <c r="B698" s="111">
        <v>-9889000</v>
      </c>
      <c r="C698" s="111">
        <v>-13717000</v>
      </c>
      <c r="D698" s="111">
        <v>-15852000</v>
      </c>
      <c r="E698" s="111">
        <v>-21334000</v>
      </c>
      <c r="F698" s="111">
        <v>-23397000</v>
      </c>
    </row>
    <row r="699" spans="1:7">
      <c r="A699" s="7" t="s">
        <v>538</v>
      </c>
      <c r="B699" s="111">
        <v>-535000</v>
      </c>
      <c r="C699" s="111">
        <v>-712000</v>
      </c>
      <c r="D699" s="111">
        <v>-782000</v>
      </c>
      <c r="E699" s="111">
        <v>-1109000</v>
      </c>
      <c r="F699" s="111">
        <v>-1333000</v>
      </c>
    </row>
    <row r="700" spans="1:7">
      <c r="A700" s="7" t="s">
        <v>505</v>
      </c>
      <c r="B700" s="111">
        <v>-1864000</v>
      </c>
      <c r="C700" s="111">
        <v>-2433000</v>
      </c>
      <c r="D700" s="111">
        <v>-2963000</v>
      </c>
      <c r="E700" s="111">
        <v>-3761000</v>
      </c>
      <c r="F700" s="111">
        <v>-4149000</v>
      </c>
    </row>
    <row r="701" spans="1:7">
      <c r="A701" s="7" t="s">
        <v>546</v>
      </c>
      <c r="B701" s="111">
        <v>0</v>
      </c>
      <c r="C701" s="111">
        <v>0</v>
      </c>
      <c r="D701" s="111">
        <v>0</v>
      </c>
      <c r="E701" s="111">
        <v>0</v>
      </c>
      <c r="F701" s="111">
        <v>0</v>
      </c>
    </row>
    <row r="702" spans="1:7">
      <c r="A702" s="7" t="s">
        <v>547</v>
      </c>
      <c r="B702" s="111">
        <v>0</v>
      </c>
      <c r="C702" s="111">
        <v>0</v>
      </c>
      <c r="D702" s="111">
        <v>0</v>
      </c>
      <c r="E702" s="111">
        <v>0</v>
      </c>
      <c r="F702" s="111">
        <v>0</v>
      </c>
    </row>
    <row r="703" spans="1:7">
      <c r="A703" s="7" t="s">
        <v>548</v>
      </c>
      <c r="B703" s="111">
        <v>165000</v>
      </c>
      <c r="C703" s="111">
        <v>365000</v>
      </c>
      <c r="D703" s="111">
        <v>599000</v>
      </c>
      <c r="E703" s="111">
        <v>620000</v>
      </c>
      <c r="F703" s="111">
        <v>326000</v>
      </c>
    </row>
    <row r="704" spans="1:7">
      <c r="A704" s="7" t="s">
        <v>549</v>
      </c>
      <c r="B704" s="111">
        <v>-480000</v>
      </c>
      <c r="C704" s="111">
        <v>-829000</v>
      </c>
      <c r="D704" s="111">
        <v>-1512000</v>
      </c>
      <c r="E704" s="111">
        <v>-2061000</v>
      </c>
      <c r="F704" s="111">
        <v>-2280000</v>
      </c>
    </row>
    <row r="705" spans="1:6">
      <c r="A705" s="7" t="s">
        <v>424</v>
      </c>
      <c r="B705" s="111">
        <v>0</v>
      </c>
      <c r="C705" s="111">
        <v>0</v>
      </c>
      <c r="D705" s="111">
        <v>0</v>
      </c>
      <c r="E705" s="111">
        <v>0</v>
      </c>
      <c r="F705" s="111">
        <v>0</v>
      </c>
    </row>
    <row r="706" spans="1:6">
      <c r="A706" s="7" t="s">
        <v>425</v>
      </c>
      <c r="B706" s="111">
        <v>0</v>
      </c>
      <c r="C706" s="111">
        <v>0</v>
      </c>
      <c r="D706" s="111">
        <v>0</v>
      </c>
      <c r="E706" s="111">
        <v>0</v>
      </c>
      <c r="F706" s="111">
        <v>0</v>
      </c>
    </row>
    <row r="707" spans="1:6">
      <c r="A707" s="7" t="s">
        <v>453</v>
      </c>
      <c r="B707" s="111">
        <v>0</v>
      </c>
      <c r="C707" s="111">
        <v>0</v>
      </c>
      <c r="D707" s="111">
        <v>0</v>
      </c>
      <c r="E707" s="111">
        <v>0</v>
      </c>
      <c r="F707" s="111">
        <v>0</v>
      </c>
    </row>
    <row r="708" spans="1:6">
      <c r="A708" s="7" t="s">
        <v>454</v>
      </c>
      <c r="B708" s="111">
        <v>0</v>
      </c>
      <c r="C708" s="111">
        <v>0</v>
      </c>
      <c r="D708" s="111">
        <v>0</v>
      </c>
      <c r="E708" s="111">
        <v>0</v>
      </c>
      <c r="F708" s="111">
        <v>0</v>
      </c>
    </row>
    <row r="709" spans="1:6">
      <c r="A709" s="7" t="s">
        <v>455</v>
      </c>
      <c r="B709" s="111">
        <v>8261000</v>
      </c>
      <c r="C709" s="111">
        <v>10110000</v>
      </c>
      <c r="D709" s="111">
        <v>15386000</v>
      </c>
      <c r="E709" s="111">
        <v>24490000</v>
      </c>
      <c r="F709" s="111">
        <v>23501000</v>
      </c>
    </row>
    <row r="710" spans="1:6">
      <c r="A710" s="7" t="s">
        <v>198</v>
      </c>
      <c r="B710" s="111">
        <v>1312000</v>
      </c>
      <c r="C710" s="111">
        <v>2845000</v>
      </c>
      <c r="D710" s="111">
        <v>4029000</v>
      </c>
      <c r="E710" s="111">
        <v>4704000</v>
      </c>
      <c r="F710" s="111">
        <v>5057000</v>
      </c>
    </row>
    <row r="711" spans="1:6">
      <c r="A711" s="7" t="s">
        <v>199</v>
      </c>
      <c r="B711" s="111">
        <v>165000</v>
      </c>
      <c r="C711" s="111">
        <v>270000</v>
      </c>
      <c r="D711" s="111">
        <v>346000</v>
      </c>
      <c r="E711" s="111">
        <v>509000</v>
      </c>
      <c r="F711" s="111">
        <v>455000</v>
      </c>
    </row>
    <row r="712" spans="1:6">
      <c r="A712" s="7" t="s">
        <v>200</v>
      </c>
      <c r="B712" s="111">
        <v>562000</v>
      </c>
      <c r="C712" s="111">
        <v>1284000</v>
      </c>
      <c r="D712" s="111">
        <v>2195000</v>
      </c>
      <c r="E712" s="111">
        <v>4987000</v>
      </c>
      <c r="F712" s="111">
        <v>7252000</v>
      </c>
    </row>
    <row r="713" spans="1:6">
      <c r="A713" s="7" t="s">
        <v>192</v>
      </c>
      <c r="B713" s="111">
        <v>817000</v>
      </c>
      <c r="C713" s="111">
        <v>1281000</v>
      </c>
      <c r="D713" s="111">
        <v>1832000</v>
      </c>
      <c r="E713" s="111">
        <v>2455000</v>
      </c>
      <c r="F713" s="111">
        <v>2954000</v>
      </c>
    </row>
    <row r="714" spans="1:6">
      <c r="A714" s="7" t="s">
        <v>193</v>
      </c>
      <c r="B714" s="111">
        <v>0</v>
      </c>
      <c r="C714" s="111">
        <v>0</v>
      </c>
      <c r="D714" s="111">
        <v>0</v>
      </c>
      <c r="E714" s="111">
        <v>0</v>
      </c>
      <c r="F714" s="111">
        <v>10528000</v>
      </c>
    </row>
    <row r="715" spans="1:6">
      <c r="A715" s="7" t="s">
        <v>194</v>
      </c>
      <c r="B715" s="111">
        <v>134000</v>
      </c>
      <c r="C715" s="111">
        <v>198000</v>
      </c>
      <c r="D715" s="111">
        <v>420000</v>
      </c>
      <c r="E715" s="111">
        <v>559000</v>
      </c>
      <c r="F715" s="111">
        <v>559000</v>
      </c>
    </row>
    <row r="716" spans="1:6">
      <c r="A716" s="7" t="s">
        <v>442</v>
      </c>
      <c r="B716" s="111">
        <v>265000</v>
      </c>
      <c r="C716" s="111">
        <v>1217000</v>
      </c>
      <c r="D716" s="111">
        <v>1139000</v>
      </c>
      <c r="E716" s="111">
        <v>1868000</v>
      </c>
      <c r="F716" s="111">
        <v>3545000</v>
      </c>
    </row>
    <row r="717" spans="1:6">
      <c r="A717" s="7" t="s">
        <v>443</v>
      </c>
      <c r="B717" s="111">
        <v>0</v>
      </c>
      <c r="C717" s="111">
        <v>0</v>
      </c>
      <c r="D717" s="111">
        <v>0</v>
      </c>
      <c r="E717" s="111">
        <v>0</v>
      </c>
      <c r="F717" s="111">
        <v>0</v>
      </c>
    </row>
    <row r="718" spans="1:6">
      <c r="A718" s="7" t="s">
        <v>444</v>
      </c>
      <c r="B718" s="111">
        <v>1779000</v>
      </c>
      <c r="C718" s="111">
        <v>3390000</v>
      </c>
      <c r="D718" s="111">
        <v>4970000</v>
      </c>
      <c r="E718" s="111">
        <v>5520000</v>
      </c>
      <c r="F718" s="111">
        <v>5601000</v>
      </c>
    </row>
    <row r="719" spans="1:6">
      <c r="A719" s="7" t="s">
        <v>231</v>
      </c>
      <c r="B719" s="111">
        <v>0</v>
      </c>
      <c r="C719" s="111">
        <v>0</v>
      </c>
      <c r="D719" s="111">
        <v>0</v>
      </c>
      <c r="E719" s="111">
        <v>0</v>
      </c>
      <c r="F719" s="111">
        <v>0</v>
      </c>
    </row>
    <row r="720" spans="1:6">
      <c r="A720" s="7" t="s">
        <v>388</v>
      </c>
      <c r="B720" s="111">
        <v>1708000</v>
      </c>
      <c r="C720" s="111">
        <v>3081000</v>
      </c>
      <c r="D720" s="111">
        <v>4329000</v>
      </c>
      <c r="E720" s="111">
        <v>8572000</v>
      </c>
      <c r="F720" s="111">
        <v>13681000</v>
      </c>
    </row>
    <row r="721" spans="1:7">
      <c r="A721" s="7" t="s">
        <v>482</v>
      </c>
      <c r="B721" s="111">
        <v>0</v>
      </c>
      <c r="C721" s="111">
        <v>0</v>
      </c>
      <c r="D721" s="111">
        <v>0</v>
      </c>
      <c r="E721" s="111">
        <v>0</v>
      </c>
      <c r="F721" s="111">
        <v>0</v>
      </c>
    </row>
    <row r="722" spans="1:7">
      <c r="A722" s="7" t="s">
        <v>383</v>
      </c>
      <c r="B722" s="111">
        <v>293000</v>
      </c>
      <c r="C722" s="111">
        <v>369000</v>
      </c>
      <c r="D722" s="111">
        <v>897000</v>
      </c>
      <c r="E722" s="111">
        <v>746000</v>
      </c>
      <c r="F722" s="111">
        <v>1286000</v>
      </c>
    </row>
    <row r="723" spans="1:7">
      <c r="A723" s="7" t="s">
        <v>384</v>
      </c>
      <c r="B723" s="111">
        <v>308000</v>
      </c>
      <c r="C723" s="111">
        <v>381000</v>
      </c>
      <c r="D723" s="111">
        <v>619000</v>
      </c>
      <c r="E723" s="111">
        <v>3704000</v>
      </c>
      <c r="F723" s="111">
        <v>5451000</v>
      </c>
    </row>
    <row r="724" spans="1:7">
      <c r="A724" s="7" t="s">
        <v>385</v>
      </c>
      <c r="B724" s="111">
        <v>0</v>
      </c>
      <c r="C724" s="111">
        <v>0</v>
      </c>
      <c r="D724" s="111">
        <v>0</v>
      </c>
      <c r="E724" s="111">
        <v>0</v>
      </c>
      <c r="F724" s="111">
        <v>0</v>
      </c>
    </row>
    <row r="725" spans="1:7">
      <c r="A725" s="7" t="s">
        <v>48</v>
      </c>
      <c r="B725" s="111">
        <v>0</v>
      </c>
      <c r="C725" s="111">
        <v>0</v>
      </c>
      <c r="D725" s="111">
        <v>0</v>
      </c>
      <c r="E725" s="111">
        <v>0</v>
      </c>
      <c r="F725" s="111">
        <v>0</v>
      </c>
    </row>
    <row r="726" spans="1:7">
      <c r="A726" s="7" t="s">
        <v>150</v>
      </c>
      <c r="B726" s="111">
        <v>3503000</v>
      </c>
      <c r="C726" s="111">
        <v>4377000</v>
      </c>
      <c r="D726" s="111">
        <v>5431000</v>
      </c>
      <c r="E726" s="111">
        <v>7185000</v>
      </c>
      <c r="F726" s="111">
        <v>8294000</v>
      </c>
    </row>
    <row r="727" spans="1:7">
      <c r="A727" s="7" t="s">
        <v>151</v>
      </c>
      <c r="B727" s="111">
        <v>3925000</v>
      </c>
      <c r="C727" s="111">
        <v>5607000</v>
      </c>
      <c r="D727" s="111">
        <v>9101000</v>
      </c>
      <c r="E727" s="111">
        <v>13845000</v>
      </c>
      <c r="F727" s="111">
        <v>19538000</v>
      </c>
    </row>
    <row r="728" spans="1:7">
      <c r="A728" s="7" t="s">
        <v>139</v>
      </c>
      <c r="B728" s="111">
        <v>0</v>
      </c>
      <c r="C728" s="111">
        <v>0</v>
      </c>
      <c r="D728" s="111">
        <v>0</v>
      </c>
      <c r="E728" s="111">
        <v>0</v>
      </c>
      <c r="F728" s="111">
        <v>0</v>
      </c>
    </row>
    <row r="732" spans="1:7">
      <c r="A732" s="7" t="s">
        <v>412</v>
      </c>
      <c r="B732" s="299" t="s">
        <v>78</v>
      </c>
      <c r="C732" s="301"/>
      <c r="D732" s="218" t="s">
        <v>76</v>
      </c>
      <c r="E732" s="218"/>
      <c r="F732" s="218"/>
      <c r="G732" s="11" t="s">
        <v>435</v>
      </c>
    </row>
    <row r="733" spans="1:7">
      <c r="A733" s="7" t="s">
        <v>325</v>
      </c>
      <c r="B733" s="112">
        <v>1305337</v>
      </c>
      <c r="C733" s="218"/>
      <c r="D733" s="218"/>
      <c r="E733" s="218"/>
      <c r="F733" s="218"/>
    </row>
    <row r="734" spans="1:7" ht="14" thickBot="1">
      <c r="A734" s="7" t="s">
        <v>74</v>
      </c>
      <c r="B734" s="268">
        <v>37255</v>
      </c>
      <c r="C734" s="268">
        <v>37620</v>
      </c>
      <c r="D734" s="268">
        <v>37985</v>
      </c>
      <c r="E734" s="268">
        <v>38351</v>
      </c>
      <c r="F734" s="268">
        <v>38716</v>
      </c>
    </row>
    <row r="735" spans="1:7">
      <c r="A735" s="7" t="s">
        <v>503</v>
      </c>
      <c r="B735" s="111">
        <v>91134000</v>
      </c>
      <c r="C735" s="111">
        <v>91424000</v>
      </c>
      <c r="D735" s="111">
        <v>98786000</v>
      </c>
      <c r="E735" s="111">
        <v>103630000</v>
      </c>
      <c r="F735" s="111">
        <v>95758000</v>
      </c>
    </row>
    <row r="736" spans="1:7">
      <c r="A736" s="7" t="s">
        <v>537</v>
      </c>
      <c r="B736" s="111">
        <v>-54602000</v>
      </c>
      <c r="C736" s="111">
        <v>-53129000</v>
      </c>
      <c r="D736" s="111">
        <v>-57057000</v>
      </c>
      <c r="E736" s="111">
        <v>-57969000</v>
      </c>
      <c r="F736" s="111">
        <v>-51973000</v>
      </c>
    </row>
    <row r="737" spans="1:6">
      <c r="A737" s="7" t="s">
        <v>538</v>
      </c>
      <c r="B737" s="111">
        <v>-5842000</v>
      </c>
      <c r="C737" s="111">
        <v>-6107000</v>
      </c>
      <c r="D737" s="111">
        <v>-6153000</v>
      </c>
      <c r="E737" s="111">
        <v>-6337000</v>
      </c>
      <c r="F737" s="111">
        <v>-5820000</v>
      </c>
    </row>
    <row r="738" spans="1:6">
      <c r="A738" s="7" t="s">
        <v>505</v>
      </c>
      <c r="B738" s="111">
        <v>-21314000</v>
      </c>
      <c r="C738" s="111">
        <v>-20259000</v>
      </c>
      <c r="D738" s="111">
        <v>-22060000</v>
      </c>
      <c r="E738" s="111">
        <v>-23386000</v>
      </c>
      <c r="F738" s="111">
        <v>-20952000</v>
      </c>
    </row>
    <row r="739" spans="1:6">
      <c r="A739" s="7" t="s">
        <v>546</v>
      </c>
      <c r="B739" s="111">
        <v>0</v>
      </c>
      <c r="C739" s="111">
        <v>0</v>
      </c>
      <c r="D739" s="111">
        <v>0</v>
      </c>
      <c r="E739" s="111">
        <v>0</v>
      </c>
      <c r="F739" s="111">
        <v>0</v>
      </c>
    </row>
    <row r="740" spans="1:6">
      <c r="A740" s="7" t="s">
        <v>547</v>
      </c>
      <c r="B740" s="111">
        <v>-220000</v>
      </c>
      <c r="C740" s="111">
        <v>-278000</v>
      </c>
      <c r="D740" s="111">
        <v>-611000</v>
      </c>
      <c r="E740" s="111">
        <v>-673000</v>
      </c>
      <c r="F740" s="111">
        <v>-498000</v>
      </c>
    </row>
    <row r="741" spans="1:6">
      <c r="A741" s="7" t="s">
        <v>548</v>
      </c>
      <c r="B741" s="111">
        <v>3070000</v>
      </c>
      <c r="C741" s="111">
        <v>1666000</v>
      </c>
      <c r="D741" s="111">
        <v>1584000</v>
      </c>
      <c r="E741" s="111">
        <v>1450000</v>
      </c>
      <c r="F741" s="111">
        <v>1623000</v>
      </c>
    </row>
    <row r="742" spans="1:6">
      <c r="A742" s="7" t="s">
        <v>549</v>
      </c>
      <c r="B742" s="111">
        <v>-4232000</v>
      </c>
      <c r="C742" s="111">
        <v>-3901000</v>
      </c>
      <c r="D742" s="111">
        <v>-4071000</v>
      </c>
      <c r="E742" s="111">
        <v>-4381000</v>
      </c>
      <c r="F742" s="111">
        <v>-4713000</v>
      </c>
    </row>
    <row r="743" spans="1:6">
      <c r="A743" s="7" t="s">
        <v>424</v>
      </c>
      <c r="B743" s="111">
        <v>0</v>
      </c>
      <c r="C743" s="111">
        <v>0</v>
      </c>
      <c r="D743" s="111">
        <v>0</v>
      </c>
      <c r="E743" s="111">
        <v>0</v>
      </c>
      <c r="F743" s="111">
        <v>0</v>
      </c>
    </row>
    <row r="744" spans="1:6">
      <c r="A744" s="7" t="s">
        <v>425</v>
      </c>
      <c r="B744" s="111">
        <v>0</v>
      </c>
      <c r="C744" s="111">
        <v>0</v>
      </c>
      <c r="D744" s="111">
        <v>0</v>
      </c>
      <c r="E744" s="111">
        <v>0</v>
      </c>
      <c r="F744" s="111">
        <v>0</v>
      </c>
    </row>
    <row r="745" spans="1:6">
      <c r="A745" s="7" t="s">
        <v>453</v>
      </c>
      <c r="B745" s="111">
        <v>-60000</v>
      </c>
      <c r="C745" s="111">
        <v>76000</v>
      </c>
      <c r="D745" s="111">
        <v>0</v>
      </c>
      <c r="E745" s="111">
        <v>0</v>
      </c>
      <c r="F745" s="111">
        <v>0</v>
      </c>
    </row>
    <row r="746" spans="1:6">
      <c r="A746" s="7" t="s">
        <v>454</v>
      </c>
      <c r="B746" s="111">
        <v>0</v>
      </c>
      <c r="C746" s="111">
        <v>0</v>
      </c>
      <c r="D746" s="111">
        <v>0</v>
      </c>
      <c r="E746" s="111">
        <v>0</v>
      </c>
      <c r="F746" s="111">
        <v>0</v>
      </c>
    </row>
    <row r="747" spans="1:6">
      <c r="A747" s="7" t="s">
        <v>455</v>
      </c>
      <c r="B747" s="111">
        <v>13686000</v>
      </c>
      <c r="C747" s="111">
        <v>10656000</v>
      </c>
      <c r="D747" s="111">
        <v>16146000</v>
      </c>
      <c r="E747" s="111">
        <v>12907000</v>
      </c>
      <c r="F747" s="111">
        <v>14247000</v>
      </c>
    </row>
    <row r="748" spans="1:6">
      <c r="A748" s="7" t="s">
        <v>198</v>
      </c>
      <c r="B748" s="111">
        <v>24428000</v>
      </c>
      <c r="C748" s="111">
        <v>26848000</v>
      </c>
      <c r="D748" s="111">
        <v>28789000</v>
      </c>
      <c r="E748" s="111">
        <v>31854000</v>
      </c>
      <c r="F748" s="111">
        <v>30464000</v>
      </c>
    </row>
    <row r="749" spans="1:6">
      <c r="A749" s="7" t="s">
        <v>199</v>
      </c>
      <c r="B749" s="111">
        <v>2841000</v>
      </c>
      <c r="C749" s="111">
        <v>2810000</v>
      </c>
      <c r="D749" s="111">
        <v>2664000</v>
      </c>
      <c r="E749" s="111">
        <v>2701000</v>
      </c>
      <c r="F749" s="111">
        <v>2494000</v>
      </c>
    </row>
    <row r="750" spans="1:6">
      <c r="A750" s="7" t="s">
        <v>200</v>
      </c>
      <c r="B750" s="111">
        <v>4706000</v>
      </c>
      <c r="C750" s="111">
        <v>4346000</v>
      </c>
      <c r="D750" s="111">
        <v>5578000</v>
      </c>
      <c r="E750" s="111">
        <v>1542000</v>
      </c>
      <c r="F750" s="111">
        <v>1730000</v>
      </c>
    </row>
    <row r="751" spans="1:6">
      <c r="A751" s="7" t="s">
        <v>192</v>
      </c>
      <c r="B751" s="111">
        <v>13756000</v>
      </c>
      <c r="C751" s="111">
        <v>14440000</v>
      </c>
      <c r="D751" s="111">
        <v>15081000</v>
      </c>
      <c r="E751" s="111">
        <v>14305000</v>
      </c>
      <c r="F751" s="111">
        <v>14165000</v>
      </c>
    </row>
    <row r="752" spans="1:6">
      <c r="A752" s="7" t="s">
        <v>193</v>
      </c>
      <c r="B752" s="111">
        <v>1174000</v>
      </c>
      <c r="C752" s="111">
        <v>1618000</v>
      </c>
      <c r="D752" s="111">
        <v>1940000</v>
      </c>
      <c r="E752" s="111">
        <v>0</v>
      </c>
      <c r="F752" s="111">
        <v>1157000</v>
      </c>
    </row>
    <row r="753" spans="1:6">
      <c r="A753" s="7" t="s">
        <v>194</v>
      </c>
      <c r="B753" s="111">
        <v>11104000</v>
      </c>
      <c r="C753" s="111">
        <v>15056000</v>
      </c>
      <c r="D753" s="111">
        <v>16392000</v>
      </c>
      <c r="E753" s="111">
        <v>21104000</v>
      </c>
      <c r="F753" s="111">
        <v>23015000</v>
      </c>
    </row>
    <row r="754" spans="1:6">
      <c r="A754" s="7" t="s">
        <v>442</v>
      </c>
      <c r="B754" s="111">
        <v>34053000</v>
      </c>
      <c r="C754" s="111">
        <v>27460000</v>
      </c>
      <c r="D754" s="111">
        <v>33841000</v>
      </c>
      <c r="E754" s="111">
        <v>25111000</v>
      </c>
      <c r="F754" s="111">
        <v>21750000</v>
      </c>
    </row>
    <row r="755" spans="1:6">
      <c r="A755" s="7" t="s">
        <v>443</v>
      </c>
      <c r="B755" s="111">
        <v>7216000</v>
      </c>
      <c r="C755" s="111">
        <v>8902000</v>
      </c>
      <c r="D755" s="111">
        <v>12235000</v>
      </c>
      <c r="E755" s="111">
        <v>11236000</v>
      </c>
      <c r="F755" s="111">
        <v>4168000</v>
      </c>
    </row>
    <row r="756" spans="1:6">
      <c r="A756" s="7" t="s">
        <v>444</v>
      </c>
      <c r="B756" s="111">
        <v>7349000</v>
      </c>
      <c r="C756" s="111">
        <v>7964000</v>
      </c>
      <c r="D756" s="111">
        <v>8054000</v>
      </c>
      <c r="E756" s="111">
        <v>7014000</v>
      </c>
      <c r="F756" s="111">
        <v>7436000</v>
      </c>
    </row>
    <row r="757" spans="1:6">
      <c r="A757" s="7" t="s">
        <v>231</v>
      </c>
      <c r="B757" s="111">
        <v>4710000</v>
      </c>
      <c r="C757" s="111">
        <v>4670000</v>
      </c>
      <c r="D757" s="111">
        <v>3673000</v>
      </c>
      <c r="E757" s="111">
        <v>2743000</v>
      </c>
      <c r="F757" s="111">
        <v>3826000</v>
      </c>
    </row>
    <row r="758" spans="1:6">
      <c r="A758" s="7" t="s">
        <v>388</v>
      </c>
      <c r="B758" s="111">
        <v>15877000</v>
      </c>
      <c r="C758" s="111">
        <v>18555000</v>
      </c>
      <c r="D758" s="111">
        <v>20348000</v>
      </c>
      <c r="E758" s="111">
        <v>21442000</v>
      </c>
      <c r="F758" s="111">
        <v>20572000</v>
      </c>
    </row>
    <row r="759" spans="1:6">
      <c r="A759" s="7" t="s">
        <v>482</v>
      </c>
      <c r="B759" s="111">
        <v>15425000</v>
      </c>
      <c r="C759" s="111">
        <v>13780000</v>
      </c>
      <c r="D759" s="111">
        <v>23039000</v>
      </c>
      <c r="E759" s="111">
        <v>22689000</v>
      </c>
      <c r="F759" s="111">
        <v>21932000</v>
      </c>
    </row>
    <row r="760" spans="1:6">
      <c r="A760" s="7" t="s">
        <v>383</v>
      </c>
      <c r="B760" s="111">
        <v>18020000</v>
      </c>
      <c r="C760" s="111">
        <v>17690000</v>
      </c>
      <c r="D760" s="111">
        <v>20489000</v>
      </c>
      <c r="E760" s="111">
        <v>30815000</v>
      </c>
      <c r="F760" s="111">
        <v>24301000</v>
      </c>
    </row>
    <row r="761" spans="1:6">
      <c r="A761" s="7" t="s">
        <v>384</v>
      </c>
      <c r="B761" s="111">
        <v>4053000</v>
      </c>
      <c r="C761" s="111">
        <v>3167000</v>
      </c>
      <c r="D761" s="111">
        <v>4124000</v>
      </c>
      <c r="E761" s="111">
        <v>0</v>
      </c>
      <c r="F761" s="111">
        <v>4032000</v>
      </c>
    </row>
    <row r="762" spans="1:6">
      <c r="A762" s="7" t="s">
        <v>385</v>
      </c>
      <c r="B762" s="111">
        <v>0</v>
      </c>
      <c r="C762" s="111">
        <v>0</v>
      </c>
      <c r="D762" s="111">
        <v>0</v>
      </c>
      <c r="E762" s="111">
        <v>0</v>
      </c>
      <c r="F762" s="111">
        <v>0</v>
      </c>
    </row>
    <row r="763" spans="1:6">
      <c r="A763" s="7" t="s">
        <v>48</v>
      </c>
      <c r="B763" s="111">
        <v>0</v>
      </c>
      <c r="C763" s="111">
        <v>0</v>
      </c>
      <c r="D763" s="111">
        <v>0</v>
      </c>
      <c r="E763" s="111">
        <v>0</v>
      </c>
      <c r="F763" s="111">
        <v>0</v>
      </c>
    </row>
    <row r="764" spans="1:6">
      <c r="A764" s="7" t="s">
        <v>150</v>
      </c>
      <c r="B764" s="111">
        <v>-11636000</v>
      </c>
      <c r="C764" s="111">
        <v>-23926000</v>
      </c>
      <c r="D764" s="111">
        <v>-32171000</v>
      </c>
      <c r="E764" s="111">
        <v>-56768000</v>
      </c>
      <c r="F764" s="111">
        <v>-58144000</v>
      </c>
    </row>
    <row r="765" spans="1:6">
      <c r="A765" s="7" t="s">
        <v>151</v>
      </c>
      <c r="B765" s="111">
        <v>44734000</v>
      </c>
      <c r="C765" s="111">
        <v>52432000</v>
      </c>
      <c r="D765" s="111">
        <v>60640000</v>
      </c>
      <c r="E765" s="111">
        <v>70353000</v>
      </c>
      <c r="F765" s="111">
        <v>80899000</v>
      </c>
    </row>
    <row r="766" spans="1:6">
      <c r="A766" s="7" t="s">
        <v>139</v>
      </c>
      <c r="B766" s="111">
        <v>0</v>
      </c>
      <c r="C766" s="111">
        <v>0</v>
      </c>
      <c r="D766" s="111">
        <v>0</v>
      </c>
      <c r="E766" s="111">
        <v>0</v>
      </c>
      <c r="F766" s="111">
        <v>0</v>
      </c>
    </row>
    <row r="770" spans="1:7">
      <c r="A770" s="7" t="s">
        <v>412</v>
      </c>
      <c r="B770" s="111" t="s">
        <v>574</v>
      </c>
      <c r="C770" s="111"/>
      <c r="D770" s="111" t="s">
        <v>575</v>
      </c>
      <c r="E770" s="111"/>
      <c r="F770" s="111"/>
      <c r="G770" s="272" t="s">
        <v>435</v>
      </c>
    </row>
    <row r="771" spans="1:7">
      <c r="A771" s="7" t="s">
        <v>325</v>
      </c>
      <c r="B771" s="111">
        <v>215900</v>
      </c>
      <c r="C771" s="111"/>
      <c r="D771" s="111"/>
      <c r="E771" s="111"/>
      <c r="F771" s="111"/>
    </row>
    <row r="772" spans="1:7">
      <c r="A772" s="7" t="s">
        <v>74</v>
      </c>
      <c r="B772" s="254">
        <v>37620</v>
      </c>
      <c r="C772" s="254">
        <v>37985</v>
      </c>
      <c r="D772" s="254">
        <v>38351</v>
      </c>
      <c r="E772" s="254">
        <v>38716</v>
      </c>
      <c r="F772" s="254">
        <v>39081</v>
      </c>
    </row>
    <row r="773" spans="1:7">
      <c r="A773" s="7" t="s">
        <v>503</v>
      </c>
      <c r="B773" s="111">
        <v>5229584</v>
      </c>
      <c r="C773" s="111">
        <v>6149139</v>
      </c>
      <c r="D773" s="111">
        <v>6532525</v>
      </c>
      <c r="E773" s="111">
        <v>5889826</v>
      </c>
      <c r="F773" s="111">
        <v>6752504</v>
      </c>
    </row>
    <row r="774" spans="1:7">
      <c r="A774" s="7" t="s">
        <v>537</v>
      </c>
      <c r="B774" s="111">
        <v>-3249629</v>
      </c>
      <c r="C774" s="111">
        <v>-3981698</v>
      </c>
      <c r="D774" s="111">
        <v>-4403666</v>
      </c>
      <c r="E774" s="111">
        <v>-4071102</v>
      </c>
      <c r="F774" s="111">
        <v>-4458076</v>
      </c>
    </row>
    <row r="775" spans="1:7">
      <c r="A775" s="7" t="s">
        <v>538</v>
      </c>
      <c r="B775" s="111">
        <v>0</v>
      </c>
      <c r="C775" s="111">
        <v>0</v>
      </c>
      <c r="D775" s="111">
        <v>0</v>
      </c>
      <c r="E775" s="111">
        <v>0</v>
      </c>
      <c r="F775" s="111">
        <v>0</v>
      </c>
    </row>
    <row r="776" spans="1:7">
      <c r="A776" s="7" t="s">
        <v>505</v>
      </c>
      <c r="B776" s="111">
        <v>-699864</v>
      </c>
      <c r="C776" s="111">
        <v>-783040</v>
      </c>
      <c r="D776" s="111">
        <v>-776522</v>
      </c>
      <c r="E776" s="111">
        <v>-761999</v>
      </c>
      <c r="F776" s="111">
        <v>-848079</v>
      </c>
    </row>
    <row r="777" spans="1:7">
      <c r="A777" s="7" t="s">
        <v>546</v>
      </c>
      <c r="B777" s="111">
        <v>-421645</v>
      </c>
      <c r="C777" s="111">
        <v>-483066</v>
      </c>
      <c r="D777" s="111">
        <v>-520353</v>
      </c>
      <c r="E777" s="111">
        <v>-568214</v>
      </c>
      <c r="F777" s="111">
        <v>-643716</v>
      </c>
    </row>
    <row r="778" spans="1:7">
      <c r="A778" s="7" t="s">
        <v>547</v>
      </c>
      <c r="B778" s="111">
        <v>-252623</v>
      </c>
      <c r="C778" s="111">
        <v>-313759</v>
      </c>
      <c r="D778" s="111">
        <v>-313196</v>
      </c>
      <c r="E778" s="111">
        <v>-292996</v>
      </c>
      <c r="F778" s="111">
        <v>-330150</v>
      </c>
    </row>
    <row r="779" spans="1:7">
      <c r="A779" s="7" t="s">
        <v>548</v>
      </c>
      <c r="B779" s="111">
        <v>28099</v>
      </c>
      <c r="C779" s="111">
        <v>15829</v>
      </c>
      <c r="D779" s="111">
        <v>54934</v>
      </c>
      <c r="E779" s="111">
        <v>-33094</v>
      </c>
      <c r="F779" s="111">
        <v>74984</v>
      </c>
    </row>
    <row r="780" spans="1:7">
      <c r="A780" s="7" t="s">
        <v>549</v>
      </c>
      <c r="B780" s="111">
        <v>0</v>
      </c>
      <c r="C780" s="111">
        <v>0</v>
      </c>
      <c r="D780" s="111">
        <v>0</v>
      </c>
      <c r="E780" s="111">
        <v>0</v>
      </c>
      <c r="F780" s="111">
        <v>0</v>
      </c>
    </row>
    <row r="781" spans="1:7">
      <c r="A781" s="7" t="s">
        <v>424</v>
      </c>
      <c r="B781" s="111">
        <v>0</v>
      </c>
      <c r="C781" s="111">
        <v>0</v>
      </c>
      <c r="D781" s="111">
        <v>0</v>
      </c>
      <c r="E781" s="111">
        <v>0</v>
      </c>
      <c r="F781" s="111">
        <v>0</v>
      </c>
    </row>
    <row r="782" spans="1:7">
      <c r="A782" s="7" t="s">
        <v>425</v>
      </c>
      <c r="B782" s="111">
        <v>0</v>
      </c>
      <c r="C782" s="111">
        <v>0</v>
      </c>
      <c r="D782" s="111">
        <v>0</v>
      </c>
      <c r="E782" s="111">
        <v>0</v>
      </c>
      <c r="F782" s="111">
        <v>0</v>
      </c>
    </row>
    <row r="783" spans="1:7">
      <c r="A783" s="7" t="s">
        <v>453</v>
      </c>
      <c r="B783" s="111">
        <v>0</v>
      </c>
      <c r="C783" s="111">
        <v>0</v>
      </c>
      <c r="D783" s="111">
        <v>0</v>
      </c>
      <c r="E783" s="111">
        <v>0</v>
      </c>
      <c r="F783" s="111">
        <v>0</v>
      </c>
    </row>
    <row r="784" spans="1:7">
      <c r="A784" s="7" t="s">
        <v>454</v>
      </c>
      <c r="B784" s="111">
        <v>0</v>
      </c>
      <c r="C784" s="111">
        <v>0</v>
      </c>
      <c r="D784" s="111">
        <v>0</v>
      </c>
      <c r="E784" s="111">
        <v>0</v>
      </c>
      <c r="F784" s="111">
        <v>0</v>
      </c>
    </row>
    <row r="785" spans="1:6">
      <c r="A785" s="7" t="s">
        <v>455</v>
      </c>
      <c r="B785" s="111">
        <v>104520</v>
      </c>
      <c r="C785" s="111">
        <v>230784</v>
      </c>
      <c r="D785" s="111">
        <v>402878</v>
      </c>
      <c r="E785" s="111">
        <v>284619</v>
      </c>
      <c r="F785" s="111">
        <v>419929</v>
      </c>
    </row>
    <row r="786" spans="1:6">
      <c r="A786" s="7" t="s">
        <v>198</v>
      </c>
      <c r="B786" s="111">
        <v>185886</v>
      </c>
      <c r="C786" s="111">
        <v>313640</v>
      </c>
      <c r="D786" s="111">
        <v>271287</v>
      </c>
      <c r="E786" s="111">
        <v>338804</v>
      </c>
      <c r="F786" s="111">
        <v>266710</v>
      </c>
    </row>
    <row r="787" spans="1:6">
      <c r="A787" s="7" t="s">
        <v>199</v>
      </c>
      <c r="B787" s="111">
        <v>76969</v>
      </c>
      <c r="C787" s="111">
        <v>96813</v>
      </c>
      <c r="D787" s="111">
        <v>96077</v>
      </c>
      <c r="E787" s="111">
        <v>107877</v>
      </c>
      <c r="F787" s="111">
        <v>126797</v>
      </c>
    </row>
    <row r="788" spans="1:6">
      <c r="A788" s="7" t="s">
        <v>200</v>
      </c>
      <c r="B788" s="111">
        <v>134529</v>
      </c>
      <c r="C788" s="111">
        <v>351554</v>
      </c>
      <c r="D788" s="111">
        <v>207095</v>
      </c>
      <c r="E788" s="111">
        <v>295091</v>
      </c>
      <c r="F788" s="111">
        <v>201635</v>
      </c>
    </row>
    <row r="789" spans="1:6">
      <c r="A789" s="7" t="s">
        <v>192</v>
      </c>
      <c r="B789" s="111">
        <v>11429106</v>
      </c>
      <c r="C789" s="111">
        <v>12253784</v>
      </c>
      <c r="D789" s="111">
        <v>13878998</v>
      </c>
      <c r="E789" s="111">
        <v>15268053</v>
      </c>
      <c r="F789" s="111">
        <v>16769181</v>
      </c>
    </row>
    <row r="790" spans="1:6">
      <c r="A790" s="7" t="s">
        <v>193</v>
      </c>
      <c r="B790" s="111">
        <v>0</v>
      </c>
      <c r="C790" s="111">
        <v>0</v>
      </c>
      <c r="D790" s="111">
        <v>0</v>
      </c>
      <c r="E790" s="111">
        <v>0</v>
      </c>
      <c r="F790" s="111">
        <v>0</v>
      </c>
    </row>
    <row r="791" spans="1:6">
      <c r="A791" s="7" t="s">
        <v>194</v>
      </c>
      <c r="B791" s="111">
        <v>721514</v>
      </c>
      <c r="C791" s="111">
        <v>797791</v>
      </c>
      <c r="D791" s="111">
        <v>779246</v>
      </c>
      <c r="E791" s="111">
        <v>792373</v>
      </c>
      <c r="F791" s="111">
        <v>759328</v>
      </c>
    </row>
    <row r="792" spans="1:6">
      <c r="A792" s="7" t="s">
        <v>442</v>
      </c>
      <c r="B792" s="111">
        <v>740564</v>
      </c>
      <c r="C792" s="111">
        <v>937915</v>
      </c>
      <c r="D792" s="111">
        <v>827729</v>
      </c>
      <c r="E792" s="111">
        <v>1146677</v>
      </c>
      <c r="F792" s="111">
        <v>1151324</v>
      </c>
    </row>
    <row r="793" spans="1:6">
      <c r="A793" s="7" t="s">
        <v>443</v>
      </c>
      <c r="B793" s="111">
        <v>373422</v>
      </c>
      <c r="C793" s="111">
        <v>351725</v>
      </c>
      <c r="D793" s="111">
        <v>471893</v>
      </c>
      <c r="E793" s="111">
        <v>756215</v>
      </c>
      <c r="F793" s="111">
        <v>1198929</v>
      </c>
    </row>
    <row r="794" spans="1:6">
      <c r="A794" s="7" t="s">
        <v>444</v>
      </c>
      <c r="B794" s="111">
        <v>193794</v>
      </c>
      <c r="C794" s="111">
        <v>222895</v>
      </c>
      <c r="D794" s="111">
        <v>245225</v>
      </c>
      <c r="E794" s="111">
        <v>264554</v>
      </c>
      <c r="F794" s="111">
        <v>249047</v>
      </c>
    </row>
    <row r="795" spans="1:6">
      <c r="A795" s="7" t="s">
        <v>231</v>
      </c>
      <c r="B795" s="111">
        <v>0</v>
      </c>
      <c r="C795" s="111">
        <v>0</v>
      </c>
      <c r="D795" s="111">
        <v>0</v>
      </c>
      <c r="E795" s="111">
        <v>0</v>
      </c>
      <c r="F795" s="111">
        <v>0</v>
      </c>
    </row>
    <row r="796" spans="1:6">
      <c r="A796" s="7" t="s">
        <v>388</v>
      </c>
      <c r="B796" s="111">
        <v>1305152</v>
      </c>
      <c r="C796" s="111">
        <v>1764675</v>
      </c>
      <c r="D796" s="111">
        <v>1957107</v>
      </c>
      <c r="E796" s="111">
        <v>1728261</v>
      </c>
      <c r="F796" s="111">
        <v>1996522</v>
      </c>
    </row>
    <row r="797" spans="1:6">
      <c r="A797" s="7" t="s">
        <v>482</v>
      </c>
      <c r="B797" s="111">
        <v>5040322</v>
      </c>
      <c r="C797" s="111">
        <v>5346547</v>
      </c>
      <c r="D797" s="111">
        <v>6539510</v>
      </c>
      <c r="E797" s="111">
        <v>7663555</v>
      </c>
      <c r="F797" s="111">
        <v>7951187</v>
      </c>
    </row>
    <row r="798" spans="1:6">
      <c r="A798" s="7" t="s">
        <v>383</v>
      </c>
      <c r="B798" s="111">
        <v>388823</v>
      </c>
      <c r="C798" s="111">
        <v>539096</v>
      </c>
      <c r="D798" s="111">
        <v>446563</v>
      </c>
      <c r="E798" s="111">
        <v>321192</v>
      </c>
      <c r="F798" s="111">
        <v>356717</v>
      </c>
    </row>
    <row r="799" spans="1:6">
      <c r="A799" s="7" t="s">
        <v>384</v>
      </c>
      <c r="B799" s="111">
        <v>0</v>
      </c>
      <c r="C799" s="111">
        <v>0</v>
      </c>
      <c r="D799" s="111">
        <v>0</v>
      </c>
      <c r="E799" s="111">
        <v>0</v>
      </c>
      <c r="F799" s="111">
        <v>0</v>
      </c>
    </row>
    <row r="800" spans="1:6">
      <c r="A800" s="7" t="s">
        <v>385</v>
      </c>
      <c r="B800" s="111">
        <v>0</v>
      </c>
      <c r="C800" s="111">
        <v>0</v>
      </c>
      <c r="D800" s="111">
        <v>0</v>
      </c>
      <c r="E800" s="111">
        <v>0</v>
      </c>
      <c r="F800" s="111">
        <v>0</v>
      </c>
    </row>
    <row r="801" spans="1:7">
      <c r="A801" s="7" t="s">
        <v>48</v>
      </c>
      <c r="B801" s="111">
        <v>0</v>
      </c>
      <c r="C801" s="111">
        <v>0</v>
      </c>
      <c r="D801" s="111">
        <v>0</v>
      </c>
      <c r="E801" s="111">
        <v>0</v>
      </c>
      <c r="F801" s="111">
        <v>0</v>
      </c>
    </row>
    <row r="802" spans="1:7">
      <c r="A802" s="7" t="s">
        <v>150</v>
      </c>
      <c r="B802" s="111">
        <v>2483166</v>
      </c>
      <c r="C802" s="111">
        <v>2521511</v>
      </c>
      <c r="D802" s="111">
        <v>2530419</v>
      </c>
      <c r="E802" s="111">
        <v>2562034</v>
      </c>
      <c r="F802" s="111">
        <v>2615688</v>
      </c>
    </row>
    <row r="803" spans="1:7">
      <c r="A803" s="7" t="s">
        <v>151</v>
      </c>
      <c r="B803" s="111">
        <v>3608409</v>
      </c>
      <c r="C803" s="111">
        <v>4235832</v>
      </c>
      <c r="D803" s="111">
        <v>4272593</v>
      </c>
      <c r="E803" s="111">
        <v>4937683</v>
      </c>
      <c r="F803" s="111">
        <v>5326814</v>
      </c>
    </row>
    <row r="804" spans="1:7">
      <c r="A804" s="7" t="s">
        <v>139</v>
      </c>
      <c r="B804" s="111"/>
      <c r="C804" s="111">
        <v>98298</v>
      </c>
      <c r="D804" s="111">
        <v>128045</v>
      </c>
      <c r="E804" s="111">
        <v>0</v>
      </c>
      <c r="F804" s="111">
        <v>0</v>
      </c>
    </row>
    <row r="808" spans="1:7">
      <c r="A808" s="7" t="s">
        <v>412</v>
      </c>
      <c r="B808" s="111" t="s">
        <v>576</v>
      </c>
      <c r="C808" s="111"/>
      <c r="D808" s="111" t="s">
        <v>577</v>
      </c>
      <c r="E808" s="111"/>
      <c r="F808" s="111"/>
      <c r="G808" s="272" t="s">
        <v>435</v>
      </c>
    </row>
    <row r="809" spans="1:7">
      <c r="A809" s="7" t="s">
        <v>325</v>
      </c>
      <c r="B809" s="111">
        <v>790000</v>
      </c>
      <c r="C809" s="111"/>
      <c r="D809" s="111"/>
      <c r="E809" s="111"/>
      <c r="F809" s="111"/>
    </row>
    <row r="810" spans="1:7">
      <c r="A810" s="7" t="s">
        <v>74</v>
      </c>
      <c r="B810" s="254">
        <v>37589</v>
      </c>
      <c r="C810" s="254">
        <v>37954</v>
      </c>
      <c r="D810" s="254">
        <v>38320</v>
      </c>
      <c r="E810" s="254">
        <v>38685</v>
      </c>
      <c r="F810" s="254">
        <v>39050</v>
      </c>
    </row>
    <row r="811" spans="1:7">
      <c r="A811" s="7" t="s">
        <v>503</v>
      </c>
      <c r="B811" s="111">
        <v>11839000</v>
      </c>
      <c r="C811" s="111">
        <v>13033000</v>
      </c>
      <c r="D811" s="111">
        <v>14947000</v>
      </c>
      <c r="E811" s="111">
        <v>13460000</v>
      </c>
      <c r="F811" s="111">
        <v>14469000</v>
      </c>
    </row>
    <row r="812" spans="1:7">
      <c r="A812" s="7" t="s">
        <v>537</v>
      </c>
      <c r="B812" s="111">
        <v>-6791000</v>
      </c>
      <c r="C812" s="111">
        <v>-7628000</v>
      </c>
      <c r="D812" s="111">
        <v>-9340000</v>
      </c>
      <c r="E812" s="111">
        <v>-8407000</v>
      </c>
      <c r="F812" s="111">
        <v>-9092000</v>
      </c>
    </row>
    <row r="813" spans="1:7">
      <c r="A813" s="7" t="s">
        <v>538</v>
      </c>
      <c r="B813" s="111">
        <v>0</v>
      </c>
      <c r="C813" s="111">
        <v>0</v>
      </c>
      <c r="D813" s="111">
        <v>0</v>
      </c>
      <c r="E813" s="111">
        <v>0</v>
      </c>
      <c r="F813" s="111">
        <v>0</v>
      </c>
    </row>
    <row r="814" spans="1:7">
      <c r="A814" s="7" t="s">
        <v>505</v>
      </c>
      <c r="B814" s="111">
        <v>-1447000</v>
      </c>
      <c r="C814" s="111">
        <v>-1579000</v>
      </c>
      <c r="D814" s="111">
        <v>-1629000</v>
      </c>
      <c r="E814" s="111">
        <v>-1590000</v>
      </c>
      <c r="F814" s="111">
        <v>-1614000</v>
      </c>
    </row>
    <row r="815" spans="1:7">
      <c r="A815" s="7" t="s">
        <v>546</v>
      </c>
      <c r="B815" s="111">
        <v>-988000</v>
      </c>
      <c r="C815" s="111">
        <v>-1101000</v>
      </c>
      <c r="D815" s="111">
        <v>-1249000</v>
      </c>
      <c r="E815" s="111">
        <v>-1309000</v>
      </c>
      <c r="F815" s="111">
        <v>-1416000</v>
      </c>
    </row>
    <row r="816" spans="1:7">
      <c r="A816" s="7" t="s">
        <v>547</v>
      </c>
      <c r="B816" s="111">
        <v>-287000</v>
      </c>
      <c r="C816" s="111">
        <v>-300000</v>
      </c>
      <c r="D816" s="111">
        <v>-385000</v>
      </c>
      <c r="E816" s="111">
        <v>-366000</v>
      </c>
      <c r="F816" s="111">
        <v>-366000</v>
      </c>
    </row>
    <row r="817" spans="1:6">
      <c r="A817" s="7" t="s">
        <v>548</v>
      </c>
      <c r="B817" s="111">
        <v>-8000</v>
      </c>
      <c r="C817" s="111">
        <v>-1000</v>
      </c>
      <c r="D817" s="111">
        <v>27000</v>
      </c>
      <c r="E817" s="111">
        <v>18000</v>
      </c>
      <c r="F817" s="111">
        <v>-2000</v>
      </c>
    </row>
    <row r="818" spans="1:6">
      <c r="A818" s="7" t="s">
        <v>549</v>
      </c>
      <c r="B818" s="111">
        <v>-39000</v>
      </c>
      <c r="C818" s="111">
        <v>-16000</v>
      </c>
      <c r="D818" s="111">
        <v>-47000</v>
      </c>
      <c r="E818" s="111">
        <v>-16000</v>
      </c>
      <c r="F818" s="111">
        <v>-1000</v>
      </c>
    </row>
    <row r="819" spans="1:6">
      <c r="A819" s="7" t="s">
        <v>424</v>
      </c>
      <c r="B819" s="111">
        <v>0</v>
      </c>
      <c r="C819" s="111">
        <v>0</v>
      </c>
      <c r="D819" s="111">
        <v>0</v>
      </c>
      <c r="E819" s="111">
        <v>0</v>
      </c>
      <c r="F819" s="111">
        <v>0</v>
      </c>
    </row>
    <row r="820" spans="1:6">
      <c r="A820" s="7" t="s">
        <v>425</v>
      </c>
      <c r="B820" s="111">
        <v>0</v>
      </c>
      <c r="C820" s="111">
        <v>0</v>
      </c>
      <c r="D820" s="111">
        <v>0</v>
      </c>
      <c r="E820" s="111">
        <v>0</v>
      </c>
      <c r="F820" s="111">
        <v>0</v>
      </c>
    </row>
    <row r="821" spans="1:6">
      <c r="A821" s="7" t="s">
        <v>453</v>
      </c>
      <c r="B821" s="111">
        <v>0</v>
      </c>
      <c r="C821" s="111">
        <v>0</v>
      </c>
      <c r="D821" s="111">
        <v>0</v>
      </c>
      <c r="E821" s="111">
        <v>0</v>
      </c>
      <c r="F821" s="111">
        <v>0</v>
      </c>
    </row>
    <row r="822" spans="1:6">
      <c r="A822" s="7" t="s">
        <v>454</v>
      </c>
      <c r="B822" s="111">
        <v>0</v>
      </c>
      <c r="C822" s="111">
        <v>0</v>
      </c>
      <c r="D822" s="111">
        <v>0</v>
      </c>
      <c r="E822" s="111">
        <v>0</v>
      </c>
      <c r="F822" s="111">
        <v>0</v>
      </c>
    </row>
    <row r="823" spans="1:6">
      <c r="A823" s="7" t="s">
        <v>455</v>
      </c>
      <c r="B823" s="111">
        <v>1163000</v>
      </c>
      <c r="C823" s="111">
        <v>943000</v>
      </c>
      <c r="D823" s="111">
        <v>650000</v>
      </c>
      <c r="E823" s="111">
        <v>538000</v>
      </c>
      <c r="F823" s="111">
        <v>429000</v>
      </c>
    </row>
    <row r="824" spans="1:6">
      <c r="A824" s="7" t="s">
        <v>198</v>
      </c>
      <c r="B824" s="111">
        <v>280000</v>
      </c>
      <c r="C824" s="111">
        <v>436000</v>
      </c>
      <c r="D824" s="111">
        <v>418000</v>
      </c>
      <c r="E824" s="111">
        <v>362000</v>
      </c>
      <c r="F824" s="111">
        <v>248000</v>
      </c>
    </row>
    <row r="825" spans="1:6">
      <c r="A825" s="7" t="s">
        <v>199</v>
      </c>
      <c r="B825" s="111">
        <v>263000</v>
      </c>
      <c r="C825" s="111">
        <v>331000</v>
      </c>
      <c r="D825" s="111">
        <v>315000</v>
      </c>
      <c r="E825" s="111">
        <v>320000</v>
      </c>
      <c r="F825" s="111">
        <v>320000</v>
      </c>
    </row>
    <row r="826" spans="1:6">
      <c r="A826" s="7" t="s">
        <v>200</v>
      </c>
      <c r="B826" s="111">
        <v>289000</v>
      </c>
      <c r="C826" s="111">
        <v>266000</v>
      </c>
      <c r="D826" s="111">
        <v>267000</v>
      </c>
      <c r="E826" s="111">
        <v>298000</v>
      </c>
      <c r="F826" s="111">
        <v>247000</v>
      </c>
    </row>
    <row r="827" spans="1:6">
      <c r="A827" s="7" t="s">
        <v>192</v>
      </c>
      <c r="B827" s="111">
        <v>23458000</v>
      </c>
      <c r="C827" s="111">
        <v>26639000</v>
      </c>
      <c r="D827" s="111">
        <v>26457000</v>
      </c>
      <c r="E827" s="111">
        <v>29870000</v>
      </c>
      <c r="F827" s="111">
        <v>30967000</v>
      </c>
    </row>
    <row r="828" spans="1:6">
      <c r="A828" s="7" t="s">
        <v>193</v>
      </c>
      <c r="B828" s="111">
        <v>0</v>
      </c>
      <c r="C828" s="111">
        <v>0</v>
      </c>
      <c r="D828" s="111">
        <v>0</v>
      </c>
      <c r="E828" s="111">
        <v>0</v>
      </c>
      <c r="F828" s="111">
        <v>0</v>
      </c>
    </row>
    <row r="829" spans="1:6">
      <c r="A829" s="7" t="s">
        <v>194</v>
      </c>
      <c r="B829" s="111">
        <v>4634000</v>
      </c>
      <c r="C829" s="111">
        <v>5003000</v>
      </c>
      <c r="D829" s="111">
        <v>4560000</v>
      </c>
      <c r="E829" s="111">
        <v>4797000</v>
      </c>
      <c r="F829" s="111">
        <v>4640000</v>
      </c>
    </row>
    <row r="830" spans="1:6">
      <c r="A830" s="7" t="s">
        <v>442</v>
      </c>
      <c r="B830" s="111">
        <v>465000</v>
      </c>
      <c r="C830" s="111">
        <v>563000</v>
      </c>
      <c r="D830" s="111">
        <v>733000</v>
      </c>
      <c r="E830" s="111">
        <v>650000</v>
      </c>
      <c r="F830" s="111">
        <v>639000</v>
      </c>
    </row>
    <row r="831" spans="1:6">
      <c r="A831" s="7" t="s">
        <v>443</v>
      </c>
      <c r="B831" s="111">
        <v>1492000</v>
      </c>
      <c r="C831" s="111">
        <v>2539000</v>
      </c>
      <c r="D831" s="111">
        <v>1608000</v>
      </c>
      <c r="E831" s="111">
        <v>950000</v>
      </c>
      <c r="F831" s="111">
        <v>1353000</v>
      </c>
    </row>
    <row r="832" spans="1:6">
      <c r="A832" s="7" t="s">
        <v>444</v>
      </c>
      <c r="B832" s="111">
        <v>438000</v>
      </c>
      <c r="C832" s="111">
        <v>561000</v>
      </c>
      <c r="D832" s="111">
        <v>512000</v>
      </c>
      <c r="E832" s="111">
        <v>568000</v>
      </c>
      <c r="F832" s="111">
        <v>503000</v>
      </c>
    </row>
    <row r="833" spans="1:6">
      <c r="A833" s="7" t="s">
        <v>231</v>
      </c>
      <c r="B833" s="111">
        <v>0</v>
      </c>
      <c r="C833" s="111">
        <v>0</v>
      </c>
      <c r="D833" s="111">
        <v>0</v>
      </c>
      <c r="E833" s="111">
        <v>0</v>
      </c>
      <c r="F833" s="111">
        <v>0</v>
      </c>
    </row>
    <row r="834" spans="1:6">
      <c r="A834" s="7" t="s">
        <v>388</v>
      </c>
      <c r="B834" s="111">
        <v>3485000</v>
      </c>
      <c r="C834" s="111">
        <v>4160000</v>
      </c>
      <c r="D834" s="111">
        <v>3661000</v>
      </c>
      <c r="E834" s="111">
        <v>3449000</v>
      </c>
      <c r="F834" s="111">
        <v>3899000</v>
      </c>
    </row>
    <row r="835" spans="1:6">
      <c r="A835" s="7" t="s">
        <v>482</v>
      </c>
      <c r="B835" s="111">
        <v>6355000</v>
      </c>
      <c r="C835" s="111">
        <v>6313000</v>
      </c>
      <c r="D835" s="111">
        <v>7735000</v>
      </c>
      <c r="E835" s="111">
        <v>9097000</v>
      </c>
      <c r="F835" s="111">
        <v>8011000</v>
      </c>
    </row>
    <row r="836" spans="1:6">
      <c r="A836" s="7" t="s">
        <v>383</v>
      </c>
      <c r="B836" s="111">
        <v>572000</v>
      </c>
      <c r="C836" s="111">
        <v>645000</v>
      </c>
      <c r="D836" s="111">
        <v>786000</v>
      </c>
      <c r="E836" s="111">
        <v>732000</v>
      </c>
      <c r="F836" s="111">
        <v>693000</v>
      </c>
    </row>
    <row r="837" spans="1:6">
      <c r="A837" s="7" t="s">
        <v>384</v>
      </c>
      <c r="B837" s="111">
        <v>0</v>
      </c>
      <c r="C837" s="111">
        <v>0</v>
      </c>
      <c r="D837" s="111">
        <v>0</v>
      </c>
      <c r="E837" s="111">
        <v>0</v>
      </c>
      <c r="F837" s="111">
        <v>0</v>
      </c>
    </row>
    <row r="838" spans="1:6">
      <c r="A838" s="7" t="s">
        <v>385</v>
      </c>
      <c r="B838" s="111">
        <v>0</v>
      </c>
      <c r="C838" s="111">
        <v>0</v>
      </c>
      <c r="D838" s="111">
        <v>0</v>
      </c>
      <c r="E838" s="111">
        <v>0</v>
      </c>
      <c r="F838" s="111">
        <v>0</v>
      </c>
    </row>
    <row r="839" spans="1:6">
      <c r="A839" s="7" t="s">
        <v>48</v>
      </c>
      <c r="B839" s="111">
        <v>0</v>
      </c>
      <c r="C839" s="111">
        <v>0</v>
      </c>
      <c r="D839" s="111">
        <v>0</v>
      </c>
      <c r="E839" s="111">
        <v>0</v>
      </c>
      <c r="F839" s="111">
        <v>0</v>
      </c>
    </row>
    <row r="840" spans="1:6">
      <c r="A840" s="7" t="s">
        <v>150</v>
      </c>
      <c r="B840" s="111">
        <v>5949000</v>
      </c>
      <c r="C840" s="111">
        <v>5746000</v>
      </c>
      <c r="D840" s="111">
        <v>5741000</v>
      </c>
      <c r="E840" s="111">
        <v>6016000</v>
      </c>
      <c r="F840" s="111">
        <v>6061000</v>
      </c>
    </row>
    <row r="841" spans="1:6">
      <c r="A841" s="7" t="s">
        <v>151</v>
      </c>
      <c r="B841" s="111">
        <v>12261000</v>
      </c>
      <c r="C841" s="111">
        <v>14217000</v>
      </c>
      <c r="D841" s="111">
        <v>13357000</v>
      </c>
      <c r="E841" s="111">
        <v>16023000</v>
      </c>
      <c r="F841" s="111">
        <v>16970000</v>
      </c>
    </row>
    <row r="842" spans="1:6">
      <c r="A842" s="7" t="s">
        <v>139</v>
      </c>
      <c r="B842" s="111"/>
      <c r="C842" s="111">
        <v>990000</v>
      </c>
      <c r="D842" s="111">
        <v>1261000</v>
      </c>
      <c r="E842" s="111">
        <v>314000</v>
      </c>
      <c r="F842" s="111">
        <v>237000</v>
      </c>
    </row>
  </sheetData>
  <mergeCells count="3">
    <mergeCell ref="B618:C618"/>
    <mergeCell ref="B694:C694"/>
    <mergeCell ref="B732:C732"/>
  </mergeCells>
  <phoneticPr fontId="27" type="noConversion"/>
  <hyperlinks>
    <hyperlink ref="A3" location="B10:F44" display="America Online" xr:uid="{00000000-0004-0000-0B00-000000000000}"/>
    <hyperlink ref="B3" location="B48:F82" display="Amazon.com" xr:uid="{00000000-0004-0000-0B00-000001000000}"/>
    <hyperlink ref="D3" location="B86:F120" display="Four Models" xr:uid="{00000000-0004-0000-0B00-000002000000}"/>
    <hyperlink ref="F3" location="'Case Data'!B124:F158" display="Intel" xr:uid="{00000000-0004-0000-0B00-000003000000}"/>
    <hyperlink ref="A4" location="B162:F196" display="Netflix" xr:uid="{00000000-0004-0000-0B00-000004000000}"/>
    <hyperlink ref="B4" location="B200:F234" display="Overstock" xr:uid="{00000000-0004-0000-0B00-000005000000}"/>
    <hyperlink ref="D4" location="B238:F272" display="RCL 1998" xr:uid="{00000000-0004-0000-0B00-000006000000}"/>
    <hyperlink ref="D5" location="B276:F310" display="Carnival 1998" xr:uid="{00000000-0004-0000-0B00-000007000000}"/>
    <hyperlink ref="A5" location="B314:F348" display="Salton" xr:uid="{00000000-0004-0000-0B00-000008000000}"/>
    <hyperlink ref="B5" location="B352:F386" display="City Screens" xr:uid="{00000000-0004-0000-0B00-000009000000}"/>
    <hyperlink ref="D7" location="B390:F424" display="Country Cinema" xr:uid="{00000000-0004-0000-0B00-00000A000000}"/>
    <hyperlink ref="D6" location="'Case Data'!B428:F462" display="Kohls" xr:uid="{00000000-0004-0000-0B00-00000B000000}"/>
    <hyperlink ref="A6" location="B466:F500" display="Nordstrom" xr:uid="{00000000-0004-0000-0B00-00000C000000}"/>
    <hyperlink ref="B6" location="B504:F538" display="Ross Stores" xr:uid="{00000000-0004-0000-0B00-00000D000000}"/>
    <hyperlink ref="G3" location="B542:F576" display="Cabelas" xr:uid="{00000000-0004-0000-0B00-00000E000000}"/>
    <hyperlink ref="G4" location="B580:F614" display="Sporting Goods Industry" xr:uid="{00000000-0004-0000-0B00-00000F000000}"/>
    <hyperlink ref="F7" location="B618:F652" display="Sirius" xr:uid="{00000000-0004-0000-0B00-000010000000}"/>
    <hyperlink ref="G48" location="A2" display="back to top" xr:uid="{00000000-0004-0000-0B00-000011000000}"/>
    <hyperlink ref="G86" location="A2" display="back to top" xr:uid="{00000000-0004-0000-0B00-000012000000}"/>
    <hyperlink ref="G124" location="A2" display="back to top" xr:uid="{00000000-0004-0000-0B00-000013000000}"/>
    <hyperlink ref="G162" location="A2" display="back to top" xr:uid="{00000000-0004-0000-0B00-000014000000}"/>
    <hyperlink ref="G200" location="A2" display="back to top" xr:uid="{00000000-0004-0000-0B00-000015000000}"/>
    <hyperlink ref="G238" location="A2" display="back to top" xr:uid="{00000000-0004-0000-0B00-000016000000}"/>
    <hyperlink ref="G276" location="A2" display="back to top" xr:uid="{00000000-0004-0000-0B00-000017000000}"/>
    <hyperlink ref="G314" location="A2" display="back to top" xr:uid="{00000000-0004-0000-0B00-000018000000}"/>
    <hyperlink ref="G352" location="A2" display="back to top" xr:uid="{00000000-0004-0000-0B00-000019000000}"/>
    <hyperlink ref="G390" location="A2" display="back to top" xr:uid="{00000000-0004-0000-0B00-00001A000000}"/>
    <hyperlink ref="G428" location="A2" display="back to top" xr:uid="{00000000-0004-0000-0B00-00001B000000}"/>
    <hyperlink ref="G466" location="A2" display="back to top" xr:uid="{00000000-0004-0000-0B00-00001C000000}"/>
    <hyperlink ref="G504" location="A2" display="back to top" xr:uid="{00000000-0004-0000-0B00-00001D000000}"/>
    <hyperlink ref="G542" location="A2" display="back to top" xr:uid="{00000000-0004-0000-0B00-00001E000000}"/>
    <hyperlink ref="G580" location="A2" display="back to top" xr:uid="{00000000-0004-0000-0B00-00001F000000}"/>
    <hyperlink ref="G618" location="A2" display="back to top" xr:uid="{00000000-0004-0000-0B00-000020000000}"/>
    <hyperlink ref="G656" location="A2" display="back to top" xr:uid="{00000000-0004-0000-0B00-000021000000}"/>
    <hyperlink ref="G5" location="'Case Data'!B656:F690" display="Verizon" xr:uid="{00000000-0004-0000-0B00-000022000000}"/>
    <hyperlink ref="G6" location="'Case Data'!B732:F766" display="IBM" xr:uid="{00000000-0004-0000-0B00-000023000000}"/>
    <hyperlink ref="G694" location="A2" display="back to top" xr:uid="{00000000-0004-0000-0B00-000024000000}"/>
    <hyperlink ref="G732" location="A2" display="back to top" xr:uid="{00000000-0004-0000-0B00-000025000000}"/>
    <hyperlink ref="F6" location="'Case Data'!B694:F728" display="Apple" xr:uid="{00000000-0004-0000-0B00-000026000000}"/>
    <hyperlink ref="F4" location="'Case Data'!B770:F804" display="RCL 2010" xr:uid="{00000000-0004-0000-0B00-000027000000}"/>
    <hyperlink ref="F5" location="'Case Data'!B808:F842" display="Carnival 2010" xr:uid="{00000000-0004-0000-0B00-000028000000}"/>
    <hyperlink ref="G770" location="A2" display="back to top" xr:uid="{00000000-0004-0000-0B00-000029000000}"/>
    <hyperlink ref="G808" location="A2" display="back to top" xr:uid="{00000000-0004-0000-0B00-00002A000000}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Intro</vt:lpstr>
      <vt:lpstr>Financial Statements</vt:lpstr>
      <vt:lpstr>Ratio Analysis</vt:lpstr>
      <vt:lpstr>Cash Flow Analysis</vt:lpstr>
      <vt:lpstr>Credit Analysis</vt:lpstr>
      <vt:lpstr>Forecasting Assumptions</vt:lpstr>
      <vt:lpstr>Valuation Parameters</vt:lpstr>
      <vt:lpstr>Residual Income Valuations</vt:lpstr>
      <vt:lpstr>DCF Valuations</vt:lpstr>
      <vt:lpstr>EPS Forecaster</vt:lpstr>
      <vt:lpstr>Model Summary</vt:lpstr>
      <vt:lpstr>Case Data</vt:lpstr>
      <vt:lpstr>'Cash Flow Analysis'!Print_Area</vt:lpstr>
      <vt:lpstr>'EPS Forecaster'!Print_Area</vt:lpstr>
      <vt:lpstr>'Forecasting Assumptions'!Print_Area</vt:lpstr>
      <vt:lpstr>'Valuation Parameters'!Print_Area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 - Software for Valuation</dc:title>
  <dc:subject/>
  <dc:creator>Russell Lundholm and Richard Sloan</dc:creator>
  <cp:keywords/>
  <dc:description>Copyright McGraw Hill Companies 2001_x000d_
</dc:description>
  <cp:lastModifiedBy>Microsoft Office User</cp:lastModifiedBy>
  <cp:lastPrinted>2006-02-17T15:58:17Z</cp:lastPrinted>
  <dcterms:created xsi:type="dcterms:W3CDTF">1999-05-12T12:42:33Z</dcterms:created>
  <dcterms:modified xsi:type="dcterms:W3CDTF">2019-09-26T05:15:23Z</dcterms:modified>
  <cp:category/>
</cp:coreProperties>
</file>