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steph\Downloads\"/>
    </mc:Choice>
  </mc:AlternateContent>
  <xr:revisionPtr revIDLastSave="0" documentId="8_{E542B8E0-9B36-4332-9329-0B482985E6D5}" xr6:coauthVersionLast="45" xr6:coauthVersionMax="45" xr10:uidLastSave="{00000000-0000-0000-0000-000000000000}"/>
  <bookViews>
    <workbookView xWindow="8805" yWindow="165" windowWidth="11445" windowHeight="10755" firstSheet="6" activeTab="7" xr2:uid="{00000000-000D-0000-FFFF-FFFF00000000}"/>
  </bookViews>
  <sheets>
    <sheet name="Documentation" sheetId="11" r:id="rId1"/>
    <sheet name="U.S." sheetId="15" r:id="rId2"/>
    <sheet name="Canada" sheetId="16" r:id="rId3"/>
    <sheet name="U.K." sheetId="17" r:id="rId4"/>
    <sheet name="All Locations" sheetId="18" r:id="rId5"/>
    <sheet name="Original Content" sheetId="19" r:id="rId6"/>
    <sheet name="Subtotals" sheetId="20" r:id="rId7"/>
    <sheet name="Expansion Funding" sheetId="13" r:id="rId8"/>
  </sheets>
  <externalReferences>
    <externalReference r:id="rId9"/>
  </externalReferences>
  <definedNames>
    <definedName name="_xlnm._FilterDatabase" localSheetId="5" hidden="1">'Original Content'!$A$28:$F$36</definedName>
    <definedName name="_xlnm.Criteria" localSheetId="5">'Original Content'!$A$25:$F$26</definedName>
    <definedName name="Down_Payment">'Expansion Funding'!$B$7</definedName>
    <definedName name="Loan_Amount">'Expansion Funding'!$B$8</definedName>
    <definedName name="Loan_Calculator">'Expansion Funding'!$A$2</definedName>
    <definedName name="Monthly_Payment">'Expansion Funding'!$D$6</definedName>
    <definedName name="Price">'Expansion Funding'!$B$6</definedName>
    <definedName name="Rate">'Expansion Funding'!$D$4</definedName>
    <definedName name="Support_EX19_CS4_7a_Properties_2" localSheetId="7">'Expansion Funding'!$F$26:$J$32</definedName>
    <definedName name="Support_EX19_CS4_7a_Properties_3" localSheetId="7">'Expansion Funding'!$K$13:$O$19</definedName>
    <definedName name="Term_in_Months">'Expansion Funding'!$D$5</definedName>
    <definedName name="Total_Cost">'Expansion Funding'!$D$8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6" i="13" l="1"/>
  <c r="I17" i="13"/>
  <c r="I18" i="13"/>
  <c r="I19" i="13"/>
  <c r="I15" i="13"/>
  <c r="H16" i="13"/>
  <c r="H17" i="13"/>
  <c r="H18" i="13"/>
  <c r="H19" i="13"/>
  <c r="H15" i="13"/>
  <c r="G16" i="13"/>
  <c r="G17" i="13"/>
  <c r="G18" i="13"/>
  <c r="G19" i="13"/>
  <c r="G15" i="13"/>
  <c r="F16" i="13"/>
  <c r="F17" i="13"/>
  <c r="F18" i="13"/>
  <c r="F19" i="13"/>
  <c r="F15" i="13"/>
  <c r="J8" i="19" l="1"/>
  <c r="B8" i="13"/>
  <c r="J6" i="19"/>
  <c r="I13" i="19"/>
  <c r="G2" i="19"/>
  <c r="G3" i="19"/>
  <c r="G4" i="19"/>
  <c r="G5" i="19"/>
  <c r="G6" i="19"/>
  <c r="G7" i="19"/>
  <c r="G8" i="19"/>
  <c r="G9" i="19"/>
  <c r="G10" i="19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D6" i="13" l="1"/>
  <c r="L4" i="13"/>
  <c r="N4" i="13"/>
  <c r="F14" i="18"/>
  <c r="E7" i="18"/>
  <c r="E8" i="18"/>
  <c r="E9" i="18"/>
  <c r="E10" i="18"/>
  <c r="E11" i="18"/>
  <c r="D7" i="18"/>
  <c r="D8" i="18"/>
  <c r="D9" i="18"/>
  <c r="D10" i="18"/>
  <c r="D11" i="18"/>
  <c r="C7" i="18"/>
  <c r="C8" i="18"/>
  <c r="C9" i="18"/>
  <c r="C10" i="18"/>
  <c r="C11" i="18"/>
  <c r="C6" i="18"/>
  <c r="C12" i="18" s="1"/>
  <c r="D6" i="18"/>
  <c r="D12" i="18" s="1"/>
  <c r="E6" i="18"/>
  <c r="E12" i="18" s="1"/>
  <c r="B7" i="18"/>
  <c r="B8" i="18"/>
  <c r="B9" i="18"/>
  <c r="B10" i="18"/>
  <c r="B11" i="18"/>
  <c r="B6" i="18"/>
  <c r="B12" i="18" s="1"/>
  <c r="K9" i="16"/>
  <c r="K9" i="17"/>
  <c r="K9" i="15"/>
  <c r="J9" i="16"/>
  <c r="J9" i="17"/>
  <c r="J9" i="15"/>
  <c r="I9" i="16"/>
  <c r="I9" i="17"/>
  <c r="I9" i="15"/>
  <c r="H1" i="16"/>
  <c r="H1" i="17"/>
  <c r="H1" i="15"/>
  <c r="A12" i="13" l="1"/>
  <c r="D7" i="13"/>
  <c r="D8" i="13" s="1"/>
  <c r="M6" i="13"/>
  <c r="N6" i="13"/>
  <c r="L6" i="13"/>
  <c r="F11" i="18" l="1"/>
  <c r="F10" i="18"/>
  <c r="F9" i="18"/>
  <c r="F8" i="18"/>
  <c r="F7" i="18"/>
  <c r="E12" i="17"/>
  <c r="D12" i="17"/>
  <c r="C12" i="17"/>
  <c r="B12" i="17"/>
  <c r="F11" i="17"/>
  <c r="F10" i="17"/>
  <c r="F9" i="17"/>
  <c r="F8" i="17"/>
  <c r="F7" i="17"/>
  <c r="F6" i="17"/>
  <c r="E12" i="16"/>
  <c r="D12" i="16"/>
  <c r="C12" i="16"/>
  <c r="B12" i="16"/>
  <c r="F11" i="16"/>
  <c r="F10" i="16"/>
  <c r="F9" i="16"/>
  <c r="F8" i="16"/>
  <c r="F7" i="16"/>
  <c r="F6" i="16"/>
  <c r="E12" i="15"/>
  <c r="D12" i="15"/>
  <c r="C12" i="15"/>
  <c r="B12" i="15"/>
  <c r="F7" i="15"/>
  <c r="F6" i="15"/>
  <c r="F11" i="15"/>
  <c r="F10" i="15"/>
  <c r="F9" i="15"/>
  <c r="F8" i="15"/>
  <c r="H7" i="17" l="1"/>
  <c r="H9" i="17" s="1"/>
  <c r="H7" i="16"/>
  <c r="H9" i="16" s="1"/>
  <c r="H7" i="15"/>
  <c r="H9" i="15" s="1"/>
  <c r="F12" i="17"/>
  <c r="F12" i="16"/>
  <c r="F12" i="15"/>
  <c r="M8" i="13" l="1"/>
  <c r="M4" i="13" s="1"/>
  <c r="N8" i="13" l="1"/>
  <c r="N11" i="13" s="1"/>
  <c r="L8" i="13"/>
  <c r="L10" i="13" s="1"/>
  <c r="F6" i="18" l="1"/>
  <c r="F12" i="18" s="1"/>
  <c r="J17" i="19"/>
  <c r="I17" i="19"/>
  <c r="K17" i="19"/>
  <c r="J16" i="19"/>
  <c r="I16" i="19"/>
  <c r="K16" i="19"/>
  <c r="J18" i="19"/>
  <c r="I18" i="19"/>
  <c r="K18" i="19"/>
  <c r="K19" i="19"/>
  <c r="I19" i="19"/>
  <c r="J19" i="1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8B2DED-4E7D-4052-AE28-6D5AAD3446CA}" name="Connection1" type="4" refreshedVersion="6" background="1" saveData="1">
    <webPr sourceData="1" parsePre="1" consecutive="1" xl2000="1" url="https://www.homeworkforyou.com/static_media/uploadedfiles/Support_EX19_CS4-7a_Properties.html"/>
  </connection>
  <connection id="2" xr16:uid="{C152FB72-04FE-48E8-BEB2-98B6546F8695}" name="Connection11" type="4" refreshedVersion="6" background="1" saveData="1">
    <webPr sourceData="1" parsePre="1" consecutive="1" xl2000="1" url="https://www.homeworkforyou.com/static_media/uploadedfiles/Support_EX19_CS4-7a_Properties.html"/>
  </connection>
</connections>
</file>

<file path=xl/sharedStrings.xml><?xml version="1.0" encoding="utf-8"?>
<sst xmlns="http://schemas.openxmlformats.org/spreadsheetml/2006/main" count="431" uniqueCount="154">
  <si>
    <t>Note: Do not edit this sheet. If your name does not appear in cell B6, please download a new copy of the file from the SAM website.</t>
  </si>
  <si>
    <t>Daniel Kabala</t>
  </si>
  <si>
    <t>Author:</t>
  </si>
  <si>
    <t>Type</t>
  </si>
  <si>
    <t>Date</t>
  </si>
  <si>
    <t>Price</t>
  </si>
  <si>
    <t>Down Payment</t>
  </si>
  <si>
    <t>Loan Amount</t>
  </si>
  <si>
    <t>Rate</t>
  </si>
  <si>
    <t>Monthly Payment</t>
  </si>
  <si>
    <t>Total Interest</t>
  </si>
  <si>
    <t>Total Cost</t>
  </si>
  <si>
    <t>Loan Payment Calculator</t>
  </si>
  <si>
    <t>Annual Interest Rate</t>
  </si>
  <si>
    <t>Monthly Interest Rate</t>
  </si>
  <si>
    <t>Loan Period in Years</t>
  </si>
  <si>
    <t>Loan Period in Months</t>
  </si>
  <si>
    <t>Start Date</t>
  </si>
  <si>
    <t>Scenarios</t>
  </si>
  <si>
    <t>Loan Calculator</t>
  </si>
  <si>
    <t>Varying Interest Rates and Terms</t>
  </si>
  <si>
    <t>Number of Months</t>
  </si>
  <si>
    <t>Term in Months</t>
  </si>
  <si>
    <t>Future Value</t>
  </si>
  <si>
    <t>n/a</t>
  </si>
  <si>
    <t>Date:</t>
  </si>
  <si>
    <t>United States</t>
  </si>
  <si>
    <t>Total</t>
  </si>
  <si>
    <t>Canada</t>
  </si>
  <si>
    <t>All Locations</t>
  </si>
  <si>
    <t>Victoria Streaming Service</t>
  </si>
  <si>
    <t>CONSOLIDATE DATA AND USE FINANCIAL FUNCTIONS, TABLES, AND CHARTS</t>
  </si>
  <si>
    <t>Quarter 1</t>
  </si>
  <si>
    <t>Quarter 2</t>
  </si>
  <si>
    <t>Quarter 3</t>
  </si>
  <si>
    <t>Quarter 4</t>
  </si>
  <si>
    <t>TV shows</t>
  </si>
  <si>
    <t>Comedy</t>
  </si>
  <si>
    <t>Drama</t>
  </si>
  <si>
    <t>Foreign</t>
  </si>
  <si>
    <t>Action</t>
  </si>
  <si>
    <t>Animation</t>
  </si>
  <si>
    <t>Standard:</t>
  </si>
  <si>
    <t>Premium:</t>
  </si>
  <si>
    <t>2022 Revenue Projections</t>
  </si>
  <si>
    <t>2021 Revenue</t>
  </si>
  <si>
    <t>in 000s</t>
  </si>
  <si>
    <t>Increase revenue to 90,000 in Q4</t>
  </si>
  <si>
    <t>Increase revenue by 2% per quarter</t>
  </si>
  <si>
    <t>United Kingdom</t>
  </si>
  <si>
    <t>Increase revenue to 60,000 in Q4</t>
  </si>
  <si>
    <t>Increase revenue to 65,000 in Q4</t>
  </si>
  <si>
    <t>ID</t>
  </si>
  <si>
    <t>Project Name</t>
  </si>
  <si>
    <t>Project Type</t>
  </si>
  <si>
    <t>Project Information</t>
  </si>
  <si>
    <t>Project ID</t>
  </si>
  <si>
    <t>Number of Projects</t>
  </si>
  <si>
    <t>Downtown Bike Path</t>
  </si>
  <si>
    <t>Budget</t>
  </si>
  <si>
    <t>AC533</t>
  </si>
  <si>
    <t>AC210</t>
  </si>
  <si>
    <t>AC328</t>
  </si>
  <si>
    <t>AC736</t>
  </si>
  <si>
    <t>AC447</t>
  </si>
  <si>
    <t>CO720</t>
  </si>
  <si>
    <t>CO789</t>
  </si>
  <si>
    <t>CO329</t>
  </si>
  <si>
    <t>CO325</t>
  </si>
  <si>
    <t>CO305</t>
  </si>
  <si>
    <t>CO220</t>
  </si>
  <si>
    <t>DR887</t>
  </si>
  <si>
    <t>DR543</t>
  </si>
  <si>
    <t>DR521</t>
  </si>
  <si>
    <t>DR512</t>
  </si>
  <si>
    <t>DR622</t>
  </si>
  <si>
    <t>TV453</t>
  </si>
  <si>
    <t>TV697</t>
  </si>
  <si>
    <t>TV482</t>
  </si>
  <si>
    <t>TV245</t>
  </si>
  <si>
    <t>TV598</t>
  </si>
  <si>
    <t>TV552</t>
  </si>
  <si>
    <t>Action movie</t>
  </si>
  <si>
    <t>TV show</t>
  </si>
  <si>
    <t>Just Spirits</t>
  </si>
  <si>
    <t>Tension Sunrise</t>
  </si>
  <si>
    <t>Teenage Miracle Mile</t>
  </si>
  <si>
    <t>This Guy Laughed</t>
  </si>
  <si>
    <t>Against the Wall</t>
  </si>
  <si>
    <t>All My Friends</t>
  </si>
  <si>
    <t>Because of Winston</t>
  </si>
  <si>
    <t>Celeste and Cecilia</t>
  </si>
  <si>
    <t>Mack and Mack</t>
  </si>
  <si>
    <t>Mad Music</t>
  </si>
  <si>
    <t>Space Plum</t>
  </si>
  <si>
    <t>A Slight Case of Spring</t>
  </si>
  <si>
    <t>Shark Myths</t>
  </si>
  <si>
    <t>Karate Night</t>
  </si>
  <si>
    <t>Good Gold Bad Blue</t>
  </si>
  <si>
    <t>The Great Grasshopper</t>
  </si>
  <si>
    <t>Paradise Moon</t>
  </si>
  <si>
    <t>Never in Common</t>
  </si>
  <si>
    <t>&gt; 15000</t>
  </si>
  <si>
    <t>Average Budget</t>
  </si>
  <si>
    <t>The Castle Behind Me</t>
  </si>
  <si>
    <t>A Great Getaway</t>
  </si>
  <si>
    <t>Business Expansion</t>
  </si>
  <si>
    <t>Purchase</t>
  </si>
  <si>
    <t>Distribution center</t>
  </si>
  <si>
    <t>10 Years</t>
  </si>
  <si>
    <t>15 Years</t>
  </si>
  <si>
    <t>Candidate Properties</t>
  </si>
  <si>
    <t>Total revenue last year:</t>
  </si>
  <si>
    <t>Approval Date</t>
  </si>
  <si>
    <t>Yes</t>
  </si>
  <si>
    <t>Approved?</t>
  </si>
  <si>
    <t>Approved Projects</t>
  </si>
  <si>
    <t>No</t>
  </si>
  <si>
    <t>Number</t>
  </si>
  <si>
    <t>Total Budget</t>
  </si>
  <si>
    <t>5 Years</t>
  </si>
  <si>
    <t>Bay ridge</t>
  </si>
  <si>
    <t>Bayridge</t>
  </si>
  <si>
    <r>
      <rPr>
        <b/>
        <sz val="10"/>
        <color theme="0"/>
        <rFont val="Century Gothic"/>
        <family val="2"/>
      </rPr>
      <t>Shelly Cashman Excel 2019</t>
    </r>
    <r>
      <rPr>
        <sz val="10"/>
        <color theme="0"/>
        <rFont val="Century Gothic"/>
        <family val="2"/>
      </rPr>
      <t xml:space="preserve"> | Modules 4-7: SAM Capstone Project 1a</t>
    </r>
  </si>
  <si>
    <t>YES</t>
  </si>
  <si>
    <t>Delay?</t>
  </si>
  <si>
    <t>https://www.homeworkforyou.com/static_media/uploadedfiles/Support_EX19_CS4-7a_Properties.html</t>
  </si>
  <si>
    <t>Location</t>
  </si>
  <si>
    <t>Contact First</t>
  </si>
  <si>
    <t>Contact Last</t>
  </si>
  <si>
    <t>On Market</t>
  </si>
  <si>
    <t>warehouse</t>
  </si>
  <si>
    <t>Knoxville, TN</t>
  </si>
  <si>
    <t>Terry</t>
  </si>
  <si>
    <t>McGregor</t>
  </si>
  <si>
    <t>8 months</t>
  </si>
  <si>
    <t>distribution center</t>
  </si>
  <si>
    <t>Scottsdale, AZ</t>
  </si>
  <si>
    <t>Anita</t>
  </si>
  <si>
    <t>Arnaz</t>
  </si>
  <si>
    <t>14 months</t>
  </si>
  <si>
    <t>Abilene, TX</t>
  </si>
  <si>
    <t>Hector</t>
  </si>
  <si>
    <t>Murillo</t>
  </si>
  <si>
    <t>22 mos</t>
  </si>
  <si>
    <t>manufacturing center</t>
  </si>
  <si>
    <t>Columbia, SC</t>
  </si>
  <si>
    <t>Padma</t>
  </si>
  <si>
    <t>Shalikar</t>
  </si>
  <si>
    <t>10 months</t>
  </si>
  <si>
    <t>Normal, IL</t>
  </si>
  <si>
    <t>Brad</t>
  </si>
  <si>
    <t>Schultz</t>
  </si>
  <si>
    <t>5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</si>
</sst>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_);_(&quot;$&quot;* \(#,##0.0\);_(&quot;$&quot;* &quot;-&quot;?_);_(@_)"/>
    <numFmt numFmtId="167" formatCode="&quot;$&quot;#,##0.00"/>
    <numFmt numFmtId="168" formatCode="&quot;$&quot;#,##0"/>
    <numFmt numFmtId="169" formatCode="m/yy"/>
  </numFmts>
  <fonts count="36" x14ac:knownFonts="1">
    <font>
      <sz val="11"/>
      <color theme="1"/>
      <name val="Trebuchet MS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28"/>
      <color rgb="FF0070C0"/>
      <name val="Century Gothic"/>
      <family val="2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sz val="18"/>
      <color theme="3"/>
      <name val="Trebuchet MS"/>
      <family val="2"/>
      <scheme val="major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Trebuchet MS"/>
      <family val="2"/>
      <scheme val="minor"/>
    </font>
    <font>
      <b/>
      <sz val="15"/>
      <color theme="3"/>
      <name val="Trebuchet MS"/>
      <family val="2"/>
      <scheme val="minor"/>
    </font>
    <font>
      <sz val="15"/>
      <color theme="3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i/>
      <sz val="11"/>
      <color theme="1"/>
      <name val="Trebuchet MS"/>
      <family val="2"/>
      <scheme val="minor"/>
    </font>
    <font>
      <b/>
      <sz val="10"/>
      <color theme="1" tint="0.24994659260841701"/>
      <name val="Trebuchet MS"/>
      <family val="2"/>
      <scheme val="major"/>
    </font>
    <font>
      <sz val="10"/>
      <color theme="1" tint="0.24994659260841701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b/>
      <sz val="11"/>
      <color theme="0"/>
      <name val="Trebuchet MS"/>
      <family val="2"/>
      <scheme val="minor"/>
    </font>
    <font>
      <b/>
      <sz val="16"/>
      <color theme="1" tint="0.24994659260841701"/>
      <name val="Trebuchet MS"/>
      <family val="2"/>
      <scheme val="major"/>
    </font>
    <font>
      <sz val="11"/>
      <name val="Trebuchet MS"/>
      <family val="2"/>
      <scheme val="minor"/>
    </font>
    <font>
      <b/>
      <sz val="11"/>
      <color theme="1" tint="0.24994659260841701"/>
      <name val="Trebuchet MS"/>
      <family val="2"/>
      <scheme val="major"/>
    </font>
    <font>
      <i/>
      <sz val="11"/>
      <color theme="1" tint="0.34998626667073579"/>
      <name val="Trebuchet MS"/>
      <family val="2"/>
      <scheme val="minor"/>
    </font>
    <font>
      <sz val="11"/>
      <color theme="1" tint="0.2499465926084170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sz val="11"/>
      <color theme="0"/>
      <name val="Trebuchet MS"/>
      <family val="2"/>
      <scheme val="minor"/>
    </font>
    <font>
      <sz val="13"/>
      <color theme="3"/>
      <name val="Trebuchet MS"/>
      <family val="2"/>
      <scheme val="minor"/>
    </font>
    <font>
      <b/>
      <sz val="11"/>
      <color theme="7" tint="-0.499984740745262"/>
      <name val="Trebuchet MS"/>
      <family val="2"/>
      <scheme val="minor"/>
    </font>
    <font>
      <sz val="12"/>
      <color theme="1"/>
      <name val="Trebuchet MS"/>
      <family val="2"/>
      <scheme val="minor"/>
    </font>
    <font>
      <b/>
      <sz val="11"/>
      <color theme="1" tint="0.249977111117893"/>
      <name val="Trebuchet MS"/>
      <family val="1"/>
      <scheme val="minor"/>
    </font>
    <font>
      <sz val="12"/>
      <color theme="1"/>
      <name val="Trebuchet MS"/>
      <family val="1"/>
      <scheme val="minor"/>
    </font>
    <font>
      <b/>
      <sz val="12"/>
      <color theme="1" tint="0.24994659260841701"/>
      <name val="Trebuchet MS"/>
      <family val="2"/>
      <scheme val="major"/>
    </font>
    <font>
      <i/>
      <sz val="11"/>
      <color indexed="8"/>
      <name val="Trebuchet MS"/>
      <family val="2"/>
      <scheme val="minor"/>
    </font>
    <font>
      <u/>
      <sz val="11"/>
      <color theme="10"/>
      <name val="Trebuchet MS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9" tint="0.79998168889431442"/>
      </patternFill>
    </fill>
    <fill>
      <patternFill patternType="solid">
        <f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4" tint="0.39997558519241921"/>
        <bgColor indexed="64"/>
      </patternFill>
    </fill>
  </fills>
  <borders count="33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theme="4"/>
      </top>
      <bottom/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4"/>
      </bottom>
      <diagonal/>
    </border>
    <border>
      <left/>
      <right/>
      <top/>
      <bottom style="thick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theme="4"/>
      </left>
      <right/>
      <top style="thick">
        <color theme="4"/>
      </top>
      <bottom/>
      <diagonal/>
    </border>
    <border>
      <left/>
      <right style="thin">
        <color theme="4"/>
      </right>
      <top style="thick">
        <color theme="4"/>
      </top>
      <bottom/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/>
      <top/>
      <bottom style="thick">
        <color theme="3" tint="0.39994506668294322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4506668294322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3">
    <xf numFmtId="0" fontId="0" fillId="0" borderId="0"/>
    <xf numFmtId="0" fontId="1" fillId="0" borderId="0"/>
    <xf numFmtId="0" fontId="1" fillId="0" borderId="0"/>
    <xf numFmtId="0" fontId="5" fillId="2" borderId="0">
      <alignment vertical="top" wrapText="1"/>
    </xf>
    <xf numFmtId="0" fontId="4" fillId="2" borderId="0">
      <alignment vertical="top" wrapText="1"/>
    </xf>
    <xf numFmtId="0" fontId="5" fillId="2" borderId="0">
      <alignment vertical="top" wrapText="1"/>
    </xf>
    <xf numFmtId="0" fontId="8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7" applyNumberFormat="0" applyFill="0" applyAlignment="0" applyProtection="0"/>
    <xf numFmtId="0" fontId="12" fillId="5" borderId="0" applyNumberFormat="0" applyBorder="0" applyAlignment="0" applyProtection="0"/>
    <xf numFmtId="9" fontId="12" fillId="0" borderId="0" applyFont="0" applyFill="0" applyBorder="0" applyAlignment="0" applyProtection="0"/>
    <xf numFmtId="0" fontId="15" fillId="0" borderId="8" applyNumberFormat="0" applyFill="0" applyAlignment="0" applyProtection="0"/>
    <xf numFmtId="0" fontId="17" fillId="0" borderId="10" applyNumberFormat="0" applyFill="0" applyProtection="0">
      <alignment vertical="center"/>
    </xf>
    <xf numFmtId="0" fontId="18" fillId="6" borderId="11" applyNumberFormat="0" applyProtection="0"/>
    <xf numFmtId="0" fontId="21" fillId="0" borderId="13" applyNumberFormat="0" applyFill="0" applyProtection="0">
      <alignment vertical="center"/>
    </xf>
    <xf numFmtId="0" fontId="22" fillId="0" borderId="0"/>
    <xf numFmtId="0" fontId="23" fillId="0" borderId="10" applyNumberFormat="0" applyFill="0" applyProtection="0">
      <alignment vertical="center"/>
    </xf>
    <xf numFmtId="0" fontId="24" fillId="0" borderId="11" applyNumberFormat="0" applyProtection="0">
      <alignment vertical="center"/>
    </xf>
    <xf numFmtId="167" fontId="25" fillId="6" borderId="0" applyFont="0" applyFill="0" applyBorder="0" applyAlignment="0" applyProtection="0"/>
    <xf numFmtId="0" fontId="25" fillId="8" borderId="0" applyNumberFormat="0" applyFont="0" applyAlignment="0">
      <alignment horizontal="center" vertical="center" wrapText="1"/>
    </xf>
    <xf numFmtId="10" fontId="22" fillId="0" borderId="0" applyFont="0" applyFill="0" applyBorder="0" applyAlignment="0" applyProtection="0"/>
    <xf numFmtId="1" fontId="25" fillId="8" borderId="0" applyFont="0" applyFill="0" applyBorder="0" applyAlignment="0"/>
    <xf numFmtId="14" fontId="25" fillId="0" borderId="0" applyFont="0" applyFill="0" applyBorder="0" applyAlignment="0"/>
    <xf numFmtId="0" fontId="19" fillId="0" borderId="14" applyNumberFormat="0" applyFill="0" applyProtection="0">
      <alignment vertical="center"/>
    </xf>
    <xf numFmtId="0" fontId="25" fillId="6" borderId="11" applyNumberFormat="0" applyProtection="0">
      <alignment horizontal="right"/>
    </xf>
    <xf numFmtId="0" fontId="20" fillId="9" borderId="0" applyNumberFormat="0" applyBorder="0" applyProtection="0">
      <alignment vertical="center" wrapText="1"/>
    </xf>
    <xf numFmtId="0" fontId="20" fillId="9" borderId="0" applyBorder="0" applyProtection="0">
      <alignment horizontal="right" vertical="center" wrapText="1" indent="2"/>
    </xf>
    <xf numFmtId="167" fontId="25" fillId="6" borderId="0" applyFont="0" applyFill="0" applyBorder="0" applyProtection="0">
      <alignment horizontal="right" indent="2"/>
    </xf>
    <xf numFmtId="0" fontId="26" fillId="0" borderId="15" applyNumberFormat="0" applyFill="0" applyAlignment="0" applyProtection="0"/>
    <xf numFmtId="0" fontId="27" fillId="14" borderId="0" applyNumberFormat="0" applyBorder="0" applyAlignment="0" applyProtection="0"/>
    <xf numFmtId="0" fontId="12" fillId="8" borderId="0" applyNumberFormat="0" applyBorder="0" applyAlignment="0" applyProtection="0"/>
    <xf numFmtId="0" fontId="35" fillId="0" borderId="0" applyNumberFormat="0" applyFill="0" applyBorder="0" applyAlignment="0" applyProtection="0"/>
  </cellStyleXfs>
  <cellXfs count="150">
    <xf numFmtId="0" fontId="0" fillId="0" borderId="0" xfId="0"/>
    <xf numFmtId="0" fontId="0" fillId="0" borderId="0" xfId="0" applyAlignment="1">
      <alignment horizontal="center"/>
    </xf>
    <xf numFmtId="0" fontId="3" fillId="2" borderId="0" xfId="2" applyFont="1" applyFill="1" applyBorder="1" applyAlignment="1">
      <alignment horizontal="left"/>
    </xf>
    <xf numFmtId="0" fontId="1" fillId="0" borderId="0" xfId="2" applyFill="1"/>
    <xf numFmtId="0" fontId="1" fillId="0" borderId="0" xfId="2" applyFill="1" applyAlignment="1">
      <alignment wrapText="1"/>
    </xf>
    <xf numFmtId="0" fontId="3" fillId="2" borderId="0" xfId="2" applyFont="1" applyFill="1" applyBorder="1" applyAlignment="1">
      <alignment horizontal="right"/>
    </xf>
    <xf numFmtId="0" fontId="3" fillId="2" borderId="1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left" wrapText="1"/>
    </xf>
    <xf numFmtId="0" fontId="7" fillId="3" borderId="2" xfId="2" applyFont="1" applyFill="1" applyBorder="1" applyAlignment="1">
      <alignment horizontal="left"/>
    </xf>
    <xf numFmtId="0" fontId="9" fillId="4" borderId="5" xfId="2" applyFont="1" applyFill="1" applyBorder="1" applyAlignment="1">
      <alignment vertical="center"/>
    </xf>
    <xf numFmtId="0" fontId="3" fillId="4" borderId="6" xfId="2" applyFont="1" applyFill="1" applyBorder="1" applyAlignment="1">
      <alignment horizontal="left"/>
    </xf>
    <xf numFmtId="0" fontId="3" fillId="0" borderId="0" xfId="2" applyFont="1" applyFill="1" applyBorder="1" applyAlignment="1">
      <alignment vertical="center"/>
    </xf>
    <xf numFmtId="0" fontId="4" fillId="2" borderId="0" xfId="4" applyBorder="1" applyAlignment="1">
      <alignment horizontal="left" vertical="top" wrapText="1"/>
    </xf>
    <xf numFmtId="0" fontId="11" fillId="2" borderId="0" xfId="5" applyFont="1" applyBorder="1" applyAlignment="1">
      <alignment horizontal="left" vertical="top" wrapText="1"/>
    </xf>
    <xf numFmtId="164" fontId="0" fillId="0" borderId="0" xfId="7" applyNumberFormat="1" applyFont="1"/>
    <xf numFmtId="0" fontId="0" fillId="5" borderId="0" xfId="10" applyFont="1" applyAlignment="1">
      <alignment horizontal="center"/>
    </xf>
    <xf numFmtId="0" fontId="16" fillId="0" borderId="0" xfId="0" applyFont="1"/>
    <xf numFmtId="166" fontId="0" fillId="0" borderId="0" xfId="0" applyNumberFormat="1"/>
    <xf numFmtId="10" fontId="0" fillId="0" borderId="0" xfId="0" applyNumberFormat="1"/>
    <xf numFmtId="10" fontId="0" fillId="0" borderId="0" xfId="11" applyNumberFormat="1" applyFont="1"/>
    <xf numFmtId="0" fontId="15" fillId="0" borderId="0" xfId="0" applyFont="1"/>
    <xf numFmtId="0" fontId="13" fillId="0" borderId="7" xfId="9"/>
    <xf numFmtId="14" fontId="0" fillId="0" borderId="0" xfId="0" applyNumberFormat="1"/>
    <xf numFmtId="0" fontId="0" fillId="5" borderId="0" xfId="10" applyFont="1"/>
    <xf numFmtId="0" fontId="15" fillId="0" borderId="12" xfId="0" applyFont="1" applyBorder="1"/>
    <xf numFmtId="44" fontId="0" fillId="0" borderId="0" xfId="7" applyFont="1" applyBorder="1"/>
    <xf numFmtId="44" fontId="0" fillId="0" borderId="0" xfId="7" applyFont="1"/>
    <xf numFmtId="0" fontId="15" fillId="0" borderId="0" xfId="12" applyBorder="1"/>
    <xf numFmtId="164" fontId="15" fillId="0" borderId="0" xfId="7" applyNumberFormat="1" applyFont="1" applyBorder="1"/>
    <xf numFmtId="0" fontId="15" fillId="0" borderId="12" xfId="12" applyFill="1" applyBorder="1"/>
    <xf numFmtId="0" fontId="0" fillId="0" borderId="12" xfId="0" applyBorder="1" applyAlignment="1">
      <alignment horizontal="right"/>
    </xf>
    <xf numFmtId="44" fontId="0" fillId="0" borderId="12" xfId="7" applyNumberFormat="1" applyFont="1" applyBorder="1"/>
    <xf numFmtId="44" fontId="0" fillId="0" borderId="18" xfId="7" applyFont="1" applyBorder="1"/>
    <xf numFmtId="44" fontId="0" fillId="0" borderId="12" xfId="7" applyFont="1" applyBorder="1"/>
    <xf numFmtId="44" fontId="0" fillId="0" borderId="19" xfId="7" applyFont="1" applyBorder="1"/>
    <xf numFmtId="0" fontId="0" fillId="12" borderId="0" xfId="0" applyFill="1"/>
    <xf numFmtId="165" fontId="0" fillId="12" borderId="0" xfId="8" applyNumberFormat="1" applyFont="1" applyFill="1"/>
    <xf numFmtId="0" fontId="0" fillId="10" borderId="0" xfId="0" applyFill="1"/>
    <xf numFmtId="165" fontId="0" fillId="10" borderId="0" xfId="8" applyNumberFormat="1" applyFont="1" applyFill="1"/>
    <xf numFmtId="0" fontId="0" fillId="12" borderId="21" xfId="0" applyFill="1" applyBorder="1"/>
    <xf numFmtId="165" fontId="0" fillId="0" borderId="0" xfId="0" applyNumberFormat="1"/>
    <xf numFmtId="43" fontId="0" fillId="0" borderId="0" xfId="0" applyNumberFormat="1"/>
    <xf numFmtId="0" fontId="0" fillId="0" borderId="0" xfId="0" applyAlignment="1">
      <alignment vertical="center"/>
    </xf>
    <xf numFmtId="3" fontId="0" fillId="10" borderId="0" xfId="0" applyNumberFormat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9" fillId="0" borderId="0" xfId="0" applyFont="1" applyFill="1" applyBorder="1" applyAlignment="1"/>
    <xf numFmtId="0" fontId="30" fillId="0" borderId="0" xfId="0" applyNumberFormat="1" applyFont="1" applyAlignment="1">
      <alignment horizontal="center"/>
    </xf>
    <xf numFmtId="49" fontId="0" fillId="0" borderId="0" xfId="0" applyNumberFormat="1"/>
    <xf numFmtId="1" fontId="0" fillId="0" borderId="0" xfId="0" applyNumberFormat="1" applyAlignment="1">
      <alignment horizontal="left"/>
    </xf>
    <xf numFmtId="42" fontId="0" fillId="0" borderId="0" xfId="0" applyNumberFormat="1" applyAlignment="1">
      <alignment horizontal="center"/>
    </xf>
    <xf numFmtId="0" fontId="29" fillId="0" borderId="0" xfId="0" applyFont="1" applyFill="1" applyBorder="1" applyAlignment="1">
      <alignment horizontal="right"/>
    </xf>
    <xf numFmtId="0" fontId="32" fillId="0" borderId="0" xfId="0" applyNumberFormat="1" applyFont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1" fontId="31" fillId="13" borderId="22" xfId="0" applyNumberFormat="1" applyFont="1" applyFill="1" applyBorder="1" applyAlignment="1">
      <alignment horizontal="right"/>
    </xf>
    <xf numFmtId="1" fontId="0" fillId="13" borderId="22" xfId="0" applyNumberFormat="1" applyFont="1" applyFill="1" applyBorder="1" applyAlignment="1">
      <alignment horizontal="center"/>
    </xf>
    <xf numFmtId="0" fontId="0" fillId="5" borderId="0" xfId="10" applyFont="1" applyBorder="1" applyAlignment="1">
      <alignment horizontal="center"/>
    </xf>
    <xf numFmtId="14" fontId="0" fillId="0" borderId="18" xfId="0" applyNumberFormat="1" applyBorder="1"/>
    <xf numFmtId="0" fontId="0" fillId="0" borderId="18" xfId="0" applyBorder="1"/>
    <xf numFmtId="164" fontId="0" fillId="0" borderId="18" xfId="7" applyNumberFormat="1" applyFont="1" applyBorder="1"/>
    <xf numFmtId="164" fontId="0" fillId="0" borderId="19" xfId="0" applyNumberFormat="1" applyBorder="1"/>
    <xf numFmtId="0" fontId="15" fillId="7" borderId="26" xfId="0" applyFont="1" applyFill="1" applyBorder="1" applyAlignment="1">
      <alignment horizontal="center"/>
    </xf>
    <xf numFmtId="10" fontId="0" fillId="0" borderId="26" xfId="11" applyNumberFormat="1" applyFont="1" applyBorder="1" applyAlignment="1">
      <alignment horizontal="center"/>
    </xf>
    <xf numFmtId="10" fontId="0" fillId="0" borderId="25" xfId="11" applyNumberFormat="1" applyFont="1" applyBorder="1" applyAlignment="1">
      <alignment horizontal="center"/>
    </xf>
    <xf numFmtId="164" fontId="15" fillId="0" borderId="25" xfId="0" applyNumberFormat="1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0" fillId="0" borderId="0" xfId="0" applyAlignment="1">
      <alignment horizontal="right"/>
    </xf>
    <xf numFmtId="44" fontId="0" fillId="12" borderId="21" xfId="7" applyFont="1" applyFill="1" applyBorder="1"/>
    <xf numFmtId="43" fontId="0" fillId="12" borderId="0" xfId="8" applyNumberFormat="1" applyFont="1" applyFill="1"/>
    <xf numFmtId="43" fontId="0" fillId="10" borderId="0" xfId="8" applyNumberFormat="1" applyFont="1" applyFill="1"/>
    <xf numFmtId="0" fontId="27" fillId="14" borderId="0" xfId="30"/>
    <xf numFmtId="0" fontId="27" fillId="14" borderId="0" xfId="30" applyAlignment="1">
      <alignment horizontal="center"/>
    </xf>
    <xf numFmtId="42" fontId="0" fillId="0" borderId="0" xfId="7" applyNumberFormat="1" applyFont="1" applyAlignment="1">
      <alignment horizontal="center"/>
    </xf>
    <xf numFmtId="0" fontId="27" fillId="14" borderId="27" xfId="30" applyBorder="1" applyAlignment="1">
      <alignment horizontal="center" vertical="center"/>
    </xf>
    <xf numFmtId="0" fontId="27" fillId="14" borderId="28" xfId="30" applyBorder="1" applyAlignment="1">
      <alignment horizontal="center" vertical="center"/>
    </xf>
    <xf numFmtId="0" fontId="27" fillId="14" borderId="28" xfId="30" applyBorder="1" applyAlignment="1">
      <alignment horizontal="center" vertical="center" wrapText="1"/>
    </xf>
    <xf numFmtId="0" fontId="27" fillId="14" borderId="29" xfId="30" applyBorder="1" applyAlignment="1">
      <alignment horizontal="center" vertical="center" wrapText="1"/>
    </xf>
    <xf numFmtId="168" fontId="0" fillId="0" borderId="0" xfId="8" applyNumberFormat="1" applyFont="1" applyAlignment="1">
      <alignment horizontal="right"/>
    </xf>
    <xf numFmtId="1" fontId="20" fillId="14" borderId="0" xfId="30" applyNumberFormat="1" applyFont="1" applyBorder="1" applyAlignment="1">
      <alignment horizontal="center"/>
    </xf>
    <xf numFmtId="0" fontId="20" fillId="14" borderId="0" xfId="30" applyFont="1" applyAlignment="1">
      <alignment horizontal="center"/>
    </xf>
    <xf numFmtId="164" fontId="12" fillId="8" borderId="30" xfId="7" applyNumberFormat="1" applyFill="1" applyBorder="1"/>
    <xf numFmtId="169" fontId="0" fillId="0" borderId="0" xfId="0" applyNumberFormat="1" applyAlignment="1">
      <alignment horizontal="center"/>
    </xf>
    <xf numFmtId="0" fontId="30" fillId="0" borderId="0" xfId="0" applyNumberFormat="1" applyFont="1" applyFill="1" applyBorder="1" applyAlignment="1">
      <alignment horizontal="center"/>
    </xf>
    <xf numFmtId="49" fontId="0" fillId="0" borderId="0" xfId="0" applyNumberFormat="1" applyFill="1" applyBorder="1"/>
    <xf numFmtId="1" fontId="0" fillId="0" borderId="0" xfId="0" applyNumberFormat="1" applyFill="1" applyBorder="1" applyAlignment="1">
      <alignment horizontal="left"/>
    </xf>
    <xf numFmtId="14" fontId="0" fillId="0" borderId="0" xfId="0" applyNumberFormat="1" applyFill="1" applyBorder="1" applyAlignment="1">
      <alignment horizontal="center"/>
    </xf>
    <xf numFmtId="42" fontId="0" fillId="0" borderId="0" xfId="0" applyNumberFormat="1" applyFill="1" applyBorder="1" applyAlignment="1">
      <alignment horizontal="center"/>
    </xf>
    <xf numFmtId="0" fontId="32" fillId="0" borderId="0" xfId="0" applyNumberFormat="1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164" fontId="0" fillId="0" borderId="0" xfId="7" applyNumberFormat="1" applyFont="1" applyFill="1" applyBorder="1" applyAlignment="1">
      <alignment horizontal="center"/>
    </xf>
    <xf numFmtId="0" fontId="12" fillId="8" borderId="30" xfId="31" applyBorder="1" applyAlignment="1">
      <alignment horizontal="center"/>
    </xf>
    <xf numFmtId="169" fontId="0" fillId="15" borderId="28" xfId="0" applyNumberFormat="1" applyFont="1" applyFill="1" applyBorder="1" applyAlignment="1">
      <alignment horizontal="center"/>
    </xf>
    <xf numFmtId="43" fontId="0" fillId="10" borderId="0" xfId="0" applyNumberFormat="1" applyFill="1"/>
    <xf numFmtId="44" fontId="0" fillId="0" borderId="0" xfId="0" applyNumberFormat="1"/>
    <xf numFmtId="0" fontId="0" fillId="12" borderId="0" xfId="0" applyFill="1" applyBorder="1"/>
    <xf numFmtId="44" fontId="0" fillId="12" borderId="0" xfId="7" applyFont="1" applyFill="1" applyBorder="1"/>
    <xf numFmtId="49" fontId="0" fillId="15" borderId="28" xfId="0" applyNumberFormat="1" applyFont="1" applyFill="1" applyBorder="1"/>
    <xf numFmtId="1" fontId="0" fillId="15" borderId="28" xfId="0" applyNumberFormat="1" applyFont="1" applyFill="1" applyBorder="1" applyAlignment="1">
      <alignment horizontal="left"/>
    </xf>
    <xf numFmtId="168" fontId="0" fillId="15" borderId="28" xfId="8" applyNumberFormat="1" applyFont="1" applyFill="1" applyBorder="1" applyAlignment="1">
      <alignment horizontal="right"/>
    </xf>
    <xf numFmtId="49" fontId="0" fillId="0" borderId="28" xfId="0" applyNumberFormat="1" applyFont="1" applyBorder="1"/>
    <xf numFmtId="1" fontId="0" fillId="0" borderId="28" xfId="0" applyNumberFormat="1" applyFont="1" applyBorder="1" applyAlignment="1">
      <alignment horizontal="left"/>
    </xf>
    <xf numFmtId="169" fontId="0" fillId="0" borderId="28" xfId="0" applyNumberFormat="1" applyFont="1" applyBorder="1" applyAlignment="1">
      <alignment horizontal="center"/>
    </xf>
    <xf numFmtId="168" fontId="0" fillId="0" borderId="28" xfId="8" applyNumberFormat="1" applyFont="1" applyBorder="1" applyAlignment="1">
      <alignment horizontal="right"/>
    </xf>
    <xf numFmtId="0" fontId="30" fillId="15" borderId="28" xfId="0" applyNumberFormat="1" applyFont="1" applyFill="1" applyBorder="1" applyAlignment="1">
      <alignment horizontal="center"/>
    </xf>
    <xf numFmtId="0" fontId="30" fillId="0" borderId="28" xfId="0" applyNumberFormat="1" applyFont="1" applyBorder="1" applyAlignment="1">
      <alignment horizontal="center"/>
    </xf>
    <xf numFmtId="42" fontId="0" fillId="15" borderId="28" xfId="0" applyNumberFormat="1" applyFont="1" applyFill="1" applyBorder="1" applyAlignment="1">
      <alignment horizontal="center"/>
    </xf>
    <xf numFmtId="42" fontId="0" fillId="0" borderId="28" xfId="0" applyNumberFormat="1" applyFont="1" applyBorder="1" applyAlignment="1">
      <alignment horizontal="center"/>
    </xf>
    <xf numFmtId="42" fontId="0" fillId="0" borderId="28" xfId="7" applyNumberFormat="1" applyFont="1" applyBorder="1" applyAlignment="1">
      <alignment horizontal="center"/>
    </xf>
    <xf numFmtId="42" fontId="0" fillId="15" borderId="28" xfId="7" applyNumberFormat="1" applyFont="1" applyFill="1" applyBorder="1" applyAlignment="1">
      <alignment horizontal="center"/>
    </xf>
    <xf numFmtId="0" fontId="20" fillId="16" borderId="31" xfId="0" applyFont="1" applyFill="1" applyBorder="1" applyAlignment="1">
      <alignment horizontal="center" vertical="center"/>
    </xf>
    <xf numFmtId="0" fontId="20" fillId="16" borderId="31" xfId="0" applyFont="1" applyFill="1" applyBorder="1" applyAlignment="1">
      <alignment horizontal="center" vertical="center" wrapText="1"/>
    </xf>
    <xf numFmtId="0" fontId="30" fillId="0" borderId="32" xfId="0" applyNumberFormat="1" applyFont="1" applyBorder="1" applyAlignment="1">
      <alignment horizontal="center"/>
    </xf>
    <xf numFmtId="49" fontId="0" fillId="0" borderId="32" xfId="0" applyNumberFormat="1" applyFont="1" applyBorder="1"/>
    <xf numFmtId="1" fontId="0" fillId="0" borderId="32" xfId="0" applyNumberFormat="1" applyFont="1" applyBorder="1" applyAlignment="1">
      <alignment horizontal="left"/>
    </xf>
    <xf numFmtId="169" fontId="0" fillId="0" borderId="32" xfId="0" applyNumberFormat="1" applyFont="1" applyBorder="1" applyAlignment="1">
      <alignment horizontal="center"/>
    </xf>
    <xf numFmtId="168" fontId="0" fillId="0" borderId="32" xfId="8" applyNumberFormat="1" applyFont="1" applyBorder="1" applyAlignment="1">
      <alignment horizontal="right"/>
    </xf>
    <xf numFmtId="42" fontId="0" fillId="0" borderId="32" xfId="7" applyNumberFormat="1" applyFont="1" applyBorder="1" applyAlignment="1">
      <alignment horizontal="center"/>
    </xf>
    <xf numFmtId="0" fontId="0" fillId="0" borderId="0" xfId="0" applyAlignment="1">
      <alignment vertical="center" wrapText="1"/>
    </xf>
    <xf numFmtId="16" fontId="29" fillId="0" borderId="0" xfId="0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6" fillId="0" borderId="0" xfId="0" applyFont="1"/>
    <xf numFmtId="0" fontId="8" fillId="10" borderId="0" xfId="6" applyFont="1" applyFill="1" applyAlignment="1">
      <alignment horizontal="center"/>
    </xf>
    <xf numFmtId="0" fontId="28" fillId="10" borderId="20" xfId="29" applyFont="1" applyFill="1" applyBorder="1" applyAlignment="1">
      <alignment horizontal="center"/>
    </xf>
    <xf numFmtId="0" fontId="27" fillId="11" borderId="0" xfId="0" applyFont="1" applyFill="1" applyAlignment="1">
      <alignment horizontal="center" vertical="center"/>
    </xf>
    <xf numFmtId="165" fontId="16" fillId="12" borderId="0" xfId="8" applyNumberFormat="1" applyFont="1" applyFill="1"/>
    <xf numFmtId="0" fontId="34" fillId="0" borderId="0" xfId="0" applyFont="1"/>
    <xf numFmtId="0" fontId="20" fillId="14" borderId="23" xfId="30" applyFont="1" applyBorder="1" applyAlignment="1">
      <alignment horizontal="center" vertical="center" wrapText="1"/>
    </xf>
    <xf numFmtId="0" fontId="20" fillId="14" borderId="24" xfId="30" applyFont="1" applyBorder="1" applyAlignment="1">
      <alignment horizontal="center" vertical="center" wrapText="1"/>
    </xf>
    <xf numFmtId="0" fontId="33" fillId="0" borderId="10" xfId="17" applyFont="1" applyAlignment="1">
      <alignment horizontal="center" vertical="center"/>
    </xf>
    <xf numFmtId="0" fontId="0" fillId="5" borderId="16" xfId="10" applyFont="1" applyBorder="1" applyAlignment="1">
      <alignment horizontal="center"/>
    </xf>
    <xf numFmtId="0" fontId="0" fillId="5" borderId="9" xfId="10" applyFont="1" applyBorder="1" applyAlignment="1">
      <alignment horizontal="center"/>
    </xf>
    <xf numFmtId="0" fontId="0" fillId="5" borderId="17" xfId="10" applyFont="1" applyBorder="1" applyAlignment="1">
      <alignment horizontal="center"/>
    </xf>
    <xf numFmtId="0" fontId="15" fillId="7" borderId="0" xfId="0" applyFont="1" applyFill="1" applyBorder="1" applyAlignment="1">
      <alignment horizontal="center"/>
    </xf>
    <xf numFmtId="0" fontId="15" fillId="7" borderId="18" xfId="0" applyFont="1" applyFill="1" applyBorder="1" applyAlignment="1">
      <alignment horizontal="center"/>
    </xf>
    <xf numFmtId="0" fontId="8" fillId="0" borderId="0" xfId="6"/>
    <xf numFmtId="0" fontId="14" fillId="0" borderId="7" xfId="9" applyFont="1"/>
    <xf numFmtId="0" fontId="12" fillId="5" borderId="9" xfId="10" applyBorder="1" applyAlignment="1">
      <alignment horizontal="center"/>
    </xf>
    <xf numFmtId="8" fontId="0" fillId="0" borderId="0" xfId="7" applyNumberFormat="1" applyFont="1"/>
    <xf numFmtId="8" fontId="0" fillId="0" borderId="12" xfId="0" applyNumberFormat="1" applyBorder="1"/>
    <xf numFmtId="0" fontId="35" fillId="0" borderId="0" xfId="32"/>
    <xf numFmtId="0" fontId="0" fillId="17" borderId="0" xfId="0" applyFill="1" applyAlignment="1">
      <alignment horizontal="center"/>
    </xf>
    <xf numFmtId="0" fontId="0" fillId="17" borderId="0" xfId="0" applyFill="1"/>
  </cellXfs>
  <cellStyles count="33">
    <cellStyle name="20% - Accent1" xfId="31" builtinId="30"/>
    <cellStyle name="40% - Accent1" xfId="10" builtinId="31"/>
    <cellStyle name="Accent1" xfId="30" builtinId="29"/>
    <cellStyle name="Amount" xfId="19" xr:uid="{00000000-0005-0000-0000-000003000000}"/>
    <cellStyle name="Comma" xfId="8" builtinId="3"/>
    <cellStyle name="Currency" xfId="7" builtinId="4"/>
    <cellStyle name="Date" xfId="23" xr:uid="{00000000-0005-0000-0000-000006000000}"/>
    <cellStyle name="Explanatory Text 2" xfId="18" xr:uid="{00000000-0005-0000-0000-000007000000}"/>
    <cellStyle name="Heading 1" xfId="9" builtinId="16"/>
    <cellStyle name="Heading 1 2" xfId="15" xr:uid="{00000000-0005-0000-0000-000009000000}"/>
    <cellStyle name="Heading 2" xfId="29" builtinId="17"/>
    <cellStyle name="Heading 2 2" xfId="13" xr:uid="{00000000-0005-0000-0000-00000B000000}"/>
    <cellStyle name="Heading 2 3" xfId="17" xr:uid="{00000000-0005-0000-0000-00000C000000}"/>
    <cellStyle name="Heading 3 2" xfId="24" xr:uid="{00000000-0005-0000-0000-00000D000000}"/>
    <cellStyle name="Heading 4 2" xfId="26" xr:uid="{00000000-0005-0000-0000-00000E000000}"/>
    <cellStyle name="Heading 4 Right aligned" xfId="27" xr:uid="{00000000-0005-0000-0000-00000F000000}"/>
    <cellStyle name="Hyperlink" xfId="32" builtinId="8"/>
    <cellStyle name="Input 2" xfId="14" xr:uid="{00000000-0005-0000-0000-000010000000}"/>
    <cellStyle name="Input 3" xfId="25" xr:uid="{00000000-0005-0000-0000-000011000000}"/>
    <cellStyle name="Loan Summary" xfId="20" xr:uid="{00000000-0005-0000-0000-000012000000}"/>
    <cellStyle name="Normal" xfId="0" builtinId="0"/>
    <cellStyle name="Normal 2" xfId="1" xr:uid="{00000000-0005-0000-0000-000014000000}"/>
    <cellStyle name="Normal 2 2" xfId="2" xr:uid="{00000000-0005-0000-0000-000015000000}"/>
    <cellStyle name="Normal 3" xfId="16" xr:uid="{00000000-0005-0000-0000-000016000000}"/>
    <cellStyle name="Number" xfId="22" xr:uid="{00000000-0005-0000-0000-000017000000}"/>
    <cellStyle name="Percent" xfId="11" builtinId="5"/>
    <cellStyle name="Percent 2" xfId="21" xr:uid="{00000000-0005-0000-0000-000019000000}"/>
    <cellStyle name="Project Header" xfId="3" xr:uid="{00000000-0005-0000-0000-00001A000000}"/>
    <cellStyle name="Student Name" xfId="4" xr:uid="{00000000-0005-0000-0000-00001B000000}"/>
    <cellStyle name="Submission" xfId="5" xr:uid="{00000000-0005-0000-0000-00001C000000}"/>
    <cellStyle name="Table Amount" xfId="28" xr:uid="{00000000-0005-0000-0000-00001D000000}"/>
    <cellStyle name="Title" xfId="6" builtinId="15"/>
    <cellStyle name="Total" xfId="12" builtinId="25"/>
  </cellStyles>
  <dxfs count="40">
    <dxf>
      <numFmt numFmtId="32" formatCode="_(&quot;$&quot;* #,##0_);_(&quot;$&quot;* \(#,##0\);_(&quot;$&quot;* &quot;-&quot;_);_(@_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70" formatCode="m/d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numFmt numFmtId="32" formatCode="_(&quot;$&quot;* #,##0_);_(&quot;$&quot;* \(#,##0\);_(&quot;$&quot;* &quot;-&quot;_);_(@_)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numFmt numFmtId="168" formatCode="&quot;$&quot;#,##0"/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numFmt numFmtId="169" formatCode="m/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numFmt numFmtId="1" formatCode="0"/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numFmt numFmtId="30" formatCode="@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rebuchet MS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numFmt numFmtId="0" formatCode="General"/>
    </dxf>
    <dxf>
      <numFmt numFmtId="32" formatCode="_(&quot;$&quot;* #,##0_);_(&quot;$&quot;* \(#,##0\);_(&quot;$&quot;* &quot;-&quot;_);_(@_)"/>
      <alignment horizontal="center" vertical="bottom" textRotation="0" wrapText="0" indent="0" justifyLastLine="0" shrinkToFit="0" readingOrder="0"/>
    </dxf>
    <dxf>
      <numFmt numFmtId="168" formatCode="&quot;$&quot;#,##0"/>
      <alignment horizontal="right" vertical="bottom" textRotation="0" wrapText="0" indent="0" justifyLastLine="0" shrinkToFit="0" readingOrder="0"/>
    </dxf>
    <dxf>
      <numFmt numFmtId="169" formatCode="m/yy"/>
      <alignment horizontal="center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rebuchet MS"/>
        <scheme val="minor"/>
      </font>
      <numFmt numFmtId="0" formatCode="General"/>
      <alignment horizontal="center" vertical="bottom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numFmt numFmtId="35" formatCode="_(* #,##0.00_);_(* \(#,##0.00\);_(* &quot;-&quot;??_);_(@_)"/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</dxf>
    <dxf>
      <border outline="0">
        <bottom style="thin">
          <color theme="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alignment horizontal="center" vertical="bottom" textRotation="0" wrapText="0" indent="0" justifyLastLine="0" shrinkToFit="0" readingOrder="0"/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</dxf>
    <dxf>
      <font>
        <color theme="1" tint="0.24994659260841701"/>
      </font>
    </dxf>
    <dxf>
      <font>
        <color theme="1" tint="0.2499465926084170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TableStyleMedium2" defaultPivotStyle="PivotStyleLight16">
    <tableStyle name="Loan Amortization Schedule" pivot="0" count="7" xr9:uid="{00000000-0011-0000-FFFF-FFFF00000000}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RowStripe" dxfId="34"/>
      <tableStyleElement type="firstColumnStripe" dxfId="3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5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2-86CD-4E38-BA19-8FA6A508823F}"/>
              </c:ext>
            </c:extLst>
          </c:dPt>
          <c:dPt>
            <c:idx val="1"/>
            <c:bubble3D val="0"/>
            <c:spPr>
              <a:solidFill>
                <a:schemeClr val="accent1">
                  <a:shade val="7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86CD-4E38-BA19-8FA6A508823F}"/>
              </c:ext>
            </c:extLst>
          </c:dPt>
          <c:dPt>
            <c:idx val="2"/>
            <c:bubble3D val="0"/>
            <c:explosion val="10"/>
            <c:spPr>
              <a:solidFill>
                <a:schemeClr val="accent1">
                  <a:shade val="9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86CD-4E38-BA19-8FA6A508823F}"/>
              </c:ext>
            </c:extLst>
          </c:dPt>
          <c:dPt>
            <c:idx val="3"/>
            <c:bubble3D val="0"/>
            <c:spPr>
              <a:solidFill>
                <a:schemeClr val="accent1">
                  <a:tint val="9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4-86CD-4E38-BA19-8FA6A508823F}"/>
              </c:ext>
            </c:extLst>
          </c:dPt>
          <c:dPt>
            <c:idx val="4"/>
            <c:bubble3D val="0"/>
            <c:spPr>
              <a:solidFill>
                <a:schemeClr val="accent1">
                  <a:tint val="7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86CD-4E38-BA19-8FA6A508823F}"/>
              </c:ext>
            </c:extLst>
          </c:dPt>
          <c:dPt>
            <c:idx val="5"/>
            <c:bubble3D val="0"/>
            <c:spPr>
              <a:solidFill>
                <a:schemeClr val="accent1">
                  <a:tint val="5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6-86CD-4E38-BA19-8FA6A508823F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shade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86CD-4E38-BA19-8FA6A508823F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shade val="7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86CD-4E38-BA19-8FA6A508823F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shade val="9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86CD-4E38-BA19-8FA6A508823F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tint val="9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4-86CD-4E38-BA19-8FA6A508823F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tint val="7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86CD-4E38-BA19-8FA6A508823F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tint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86CD-4E38-BA19-8FA6A508823F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 Locations'!$A$6:$A$11</c:f>
              <c:strCache>
                <c:ptCount val="6"/>
                <c:pt idx="0">
                  <c:v>Action</c:v>
                </c:pt>
                <c:pt idx="1">
                  <c:v>Animation</c:v>
                </c:pt>
                <c:pt idx="2">
                  <c:v>Comedy</c:v>
                </c:pt>
                <c:pt idx="3">
                  <c:v>Drama</c:v>
                </c:pt>
                <c:pt idx="4">
                  <c:v>Foreign</c:v>
                </c:pt>
                <c:pt idx="5">
                  <c:v>TV shows</c:v>
                </c:pt>
              </c:strCache>
            </c:strRef>
          </c:cat>
          <c:val>
            <c:numRef>
              <c:f>'All Locations'!$F$6:$F$11</c:f>
              <c:numCache>
                <c:formatCode>_(* #,##0.00_);_(* \(#,##0.00\);_(* "-"??_);_(@_)</c:formatCode>
                <c:ptCount val="6"/>
                <c:pt idx="0">
                  <c:v>134786.23000000001</c:v>
                </c:pt>
                <c:pt idx="1">
                  <c:v>100757.7</c:v>
                </c:pt>
                <c:pt idx="2">
                  <c:v>184982.35000000003</c:v>
                </c:pt>
                <c:pt idx="3">
                  <c:v>129202.45</c:v>
                </c:pt>
                <c:pt idx="4">
                  <c:v>94660.19</c:v>
                </c:pt>
                <c:pt idx="5">
                  <c:v>170495.03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CD-4E38-BA19-8FA6A508823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baseline="0">
                <a:effectLst/>
              </a:rPr>
              <a:t>Movie Revenue</a:t>
            </a:r>
            <a:r>
              <a:rPr lang="en-US" sz="1400" b="0" i="0" u="none" strike="noStrike" baseline="0">
                <a:effectLst/>
              </a:rPr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'All Locations'!$A$6</c:f>
              <c:strCache>
                <c:ptCount val="1"/>
                <c:pt idx="0">
                  <c:v>Action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'All Locations'!$B$5:$E$5</c:f>
              <c:strCache>
                <c:ptCount val="4"/>
                <c:pt idx="0">
                  <c:v>Quarter 1</c:v>
                </c:pt>
                <c:pt idx="1">
                  <c:v>Quarter 2</c:v>
                </c:pt>
                <c:pt idx="2">
                  <c:v>Quarter 3</c:v>
                </c:pt>
                <c:pt idx="3">
                  <c:v>Quarter 4</c:v>
                </c:pt>
              </c:strCache>
            </c:strRef>
          </c:cat>
          <c:val>
            <c:numRef>
              <c:f>'All Locations'!$B$6:$E$6</c:f>
              <c:numCache>
                <c:formatCode>_(* #,##0.00_);_(* \(#,##0.00\);_(* "-"??_);_(@_)</c:formatCode>
                <c:ptCount val="4"/>
                <c:pt idx="0">
                  <c:v>31594.800000000003</c:v>
                </c:pt>
                <c:pt idx="1">
                  <c:v>32657.24</c:v>
                </c:pt>
                <c:pt idx="2">
                  <c:v>34832.15</c:v>
                </c:pt>
                <c:pt idx="3">
                  <c:v>35702.04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83-4181-A5B5-A1211C584255}"/>
            </c:ext>
          </c:extLst>
        </c:ser>
        <c:ser>
          <c:idx val="1"/>
          <c:order val="1"/>
          <c:tx>
            <c:strRef>
              <c:f>'All Locations'!$A$7</c:f>
              <c:strCache>
                <c:ptCount val="1"/>
                <c:pt idx="0">
                  <c:v>Animation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'All Locations'!$B$5:$E$5</c:f>
              <c:strCache>
                <c:ptCount val="4"/>
                <c:pt idx="0">
                  <c:v>Quarter 1</c:v>
                </c:pt>
                <c:pt idx="1">
                  <c:v>Quarter 2</c:v>
                </c:pt>
                <c:pt idx="2">
                  <c:v>Quarter 3</c:v>
                </c:pt>
                <c:pt idx="3">
                  <c:v>Quarter 4</c:v>
                </c:pt>
              </c:strCache>
            </c:strRef>
          </c:cat>
          <c:val>
            <c:numRef>
              <c:f>'All Locations'!$B$7:$E$7</c:f>
              <c:numCache>
                <c:formatCode>_(* #,##0.00_);_(* \(#,##0.00\);_(* "-"??_);_(@_)</c:formatCode>
                <c:ptCount val="4"/>
                <c:pt idx="0">
                  <c:v>23407</c:v>
                </c:pt>
                <c:pt idx="1">
                  <c:v>25159.39</c:v>
                </c:pt>
                <c:pt idx="2">
                  <c:v>26473.949999999997</c:v>
                </c:pt>
                <c:pt idx="3">
                  <c:v>25717.360000000001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83-4181-A5B5-A1211C584255}"/>
            </c:ext>
          </c:extLst>
        </c:ser>
        <c:ser>
          <c:idx val="2"/>
          <c:order val="2"/>
          <c:tx>
            <c:strRef>
              <c:f>'All Locations'!$A$8</c:f>
              <c:strCache>
                <c:ptCount val="1"/>
                <c:pt idx="0">
                  <c:v>Comedy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'All Locations'!$B$5:$E$5</c:f>
              <c:strCache>
                <c:ptCount val="4"/>
                <c:pt idx="0">
                  <c:v>Quarter 1</c:v>
                </c:pt>
                <c:pt idx="1">
                  <c:v>Quarter 2</c:v>
                </c:pt>
                <c:pt idx="2">
                  <c:v>Quarter 3</c:v>
                </c:pt>
                <c:pt idx="3">
                  <c:v>Quarter 4</c:v>
                </c:pt>
              </c:strCache>
            </c:strRef>
          </c:cat>
          <c:val>
            <c:numRef>
              <c:f>'All Locations'!$B$8:$E$8</c:f>
              <c:numCache>
                <c:formatCode>_(* #,##0.00_);_(* \(#,##0.00\);_(* "-"??_);_(@_)</c:formatCode>
                <c:ptCount val="4"/>
                <c:pt idx="0">
                  <c:v>45004.37</c:v>
                </c:pt>
                <c:pt idx="1">
                  <c:v>46698.55</c:v>
                </c:pt>
                <c:pt idx="2">
                  <c:v>46476.990000000005</c:v>
                </c:pt>
                <c:pt idx="3">
                  <c:v>46802.44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83-4181-A5B5-A1211C584255}"/>
            </c:ext>
          </c:extLst>
        </c:ser>
        <c:ser>
          <c:idx val="3"/>
          <c:order val="3"/>
          <c:tx>
            <c:strRef>
              <c:f>'All Locations'!$A$9</c:f>
              <c:strCache>
                <c:ptCount val="1"/>
                <c:pt idx="0">
                  <c:v>Drama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'All Locations'!$B$5:$E$5</c:f>
              <c:strCache>
                <c:ptCount val="4"/>
                <c:pt idx="0">
                  <c:v>Quarter 1</c:v>
                </c:pt>
                <c:pt idx="1">
                  <c:v>Quarter 2</c:v>
                </c:pt>
                <c:pt idx="2">
                  <c:v>Quarter 3</c:v>
                </c:pt>
                <c:pt idx="3">
                  <c:v>Quarter 4</c:v>
                </c:pt>
              </c:strCache>
            </c:strRef>
          </c:cat>
          <c:val>
            <c:numRef>
              <c:f>'All Locations'!$B$9:$E$9</c:f>
              <c:numCache>
                <c:formatCode>_(* #,##0.00_);_(* \(#,##0.00\);_(* "-"??_);_(@_)</c:formatCode>
                <c:ptCount val="4"/>
                <c:pt idx="0">
                  <c:v>30894.799999999996</c:v>
                </c:pt>
                <c:pt idx="1">
                  <c:v>32702.560000000001</c:v>
                </c:pt>
                <c:pt idx="2">
                  <c:v>33595.509999999995</c:v>
                </c:pt>
                <c:pt idx="3">
                  <c:v>32009.58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83-4181-A5B5-A1211C584255}"/>
            </c:ext>
          </c:extLst>
        </c:ser>
        <c:ser>
          <c:idx val="4"/>
          <c:order val="4"/>
          <c:tx>
            <c:strRef>
              <c:f>'All Locations'!$A$10</c:f>
              <c:strCache>
                <c:ptCount val="1"/>
                <c:pt idx="0">
                  <c:v>Foreign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'All Locations'!$B$5:$E$5</c:f>
              <c:strCache>
                <c:ptCount val="4"/>
                <c:pt idx="0">
                  <c:v>Quarter 1</c:v>
                </c:pt>
                <c:pt idx="1">
                  <c:v>Quarter 2</c:v>
                </c:pt>
                <c:pt idx="2">
                  <c:v>Quarter 3</c:v>
                </c:pt>
                <c:pt idx="3">
                  <c:v>Quarter 4</c:v>
                </c:pt>
              </c:strCache>
            </c:strRef>
          </c:cat>
          <c:val>
            <c:numRef>
              <c:f>'All Locations'!$B$10:$E$10</c:f>
              <c:numCache>
                <c:formatCode>_(* #,##0.00_);_(* \(#,##0.00\);_(* "-"??_);_(@_)</c:formatCode>
                <c:ptCount val="4"/>
                <c:pt idx="0">
                  <c:v>23849.88</c:v>
                </c:pt>
                <c:pt idx="1">
                  <c:v>24380.33</c:v>
                </c:pt>
                <c:pt idx="2">
                  <c:v>23171.360000000001</c:v>
                </c:pt>
                <c:pt idx="3">
                  <c:v>23258.62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E83-4181-A5B5-A1211C584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744736"/>
        <c:axId val="126076816"/>
        <c:extLst>
          <c:ext xmlns:c15="http://schemas.microsoft.com/office/drawing/2012/chart" uri="{02D57815-91ED-43cb-92C2-25804820EDAC}">
            <c15:filteredBar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'All Locations'!$A$11</c15:sqref>
                        </c15:formulaRef>
                      </c:ext>
                    </c:extLst>
                    <c:strCache>
                      <c:ptCount val="1"/>
                      <c:pt idx="0">
                        <c:v>TV shows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'All Locations'!$B$5:$E$5</c15:sqref>
                        </c15:formulaRef>
                      </c:ext>
                    </c:extLst>
                    <c:strCache>
                      <c:ptCount val="4"/>
                      <c:pt idx="0">
                        <c:v>Quarter 1</c:v>
                      </c:pt>
                      <c:pt idx="1">
                        <c:v>Quarter 2</c:v>
                      </c:pt>
                      <c:pt idx="2">
                        <c:v>Quarter 3</c:v>
                      </c:pt>
                      <c:pt idx="3">
                        <c:v>Quarter 4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'All Locations'!$B$11:$E$11</c15:sqref>
                        </c15:formulaRef>
                      </c:ext>
                    </c:extLst>
                    <c:numCache>
                      <c:formatCode>_(* #,##0.00_);_(* \(#,##0.00\);_(* "-"??_);_(@_)</c:formatCode>
                      <c:ptCount val="4"/>
                      <c:pt idx="0">
                        <c:v>40332.310000000005</c:v>
                      </c:pt>
                      <c:pt idx="1">
                        <c:v>42733.61</c:v>
                      </c:pt>
                      <c:pt idx="2">
                        <c:v>43403.93</c:v>
                      </c:pt>
                      <c:pt idx="3">
                        <c:v>44025.18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D-8E83-4181-A5B5-A1211C584255}"/>
                  </c:ext>
                </c:extLst>
              </c15:ser>
            </c15:filteredBarSeries>
          </c:ext>
        </c:extLst>
      </c:barChart>
      <c:catAx>
        <c:axId val="124744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076816"/>
        <c:crosses val="autoZero"/>
        <c:auto val="1"/>
        <c:lblAlgn val="ctr"/>
        <c:lblOffset val="100"/>
        <c:noMultiLvlLbl val="0"/>
      </c:catAx>
      <c:valAx>
        <c:axId val="126076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744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4632223</xdr:colOff>
      <xdr:row>0</xdr:row>
      <xdr:rowOff>9525</xdr:rowOff>
    </xdr:from>
    <xdr:to>
      <xdr:col>2</xdr:col>
      <xdr:colOff>275921</xdr:colOff>
      <xdr:row>1</xdr:row>
      <xdr:rowOff>11450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9448" y="9525"/>
          <a:ext cx="1787323" cy="41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14</xdr:row>
      <xdr:rowOff>4761</xdr:rowOff>
    </xdr:from>
    <xdr:to>
      <xdr:col>5</xdr:col>
      <xdr:colOff>19049</xdr:colOff>
      <xdr:row>30</xdr:row>
      <xdr:rowOff>9524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BB0180F-1497-4D6A-B315-7731A2597D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19050</xdr:colOff>
      <xdr:row>13</xdr:row>
      <xdr:rowOff>204786</xdr:rowOff>
    </xdr:from>
    <xdr:to>
      <xdr:col>10</xdr:col>
      <xdr:colOff>800099</xdr:colOff>
      <xdr:row>36</xdr:row>
      <xdr:rowOff>209549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B25AFE6-E25C-4F37-BC3F-BEAE82A5C0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upport_EX19_CS4-7a_Reven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Locations"/>
    </sheetNames>
    <sheetDataSet>
      <sheetData sheetId="0">
        <row r="12">
          <cell r="F12">
            <v>767912.1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port_EX19_CS4-7a_Properties_3" connectionId="2" xr16:uid="{2CA2200C-534F-4487-9D95-670C312F0632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port_EX19_CS4-7a_Properties_2" connectionId="1" xr16:uid="{BD6CD520-B8A4-4E40-A3A4-31697486B69E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2E8D465-2526-4B52-8020-CF56EF762397}" name="Table3" displayName="Table3" ref="A5:F12" totalsRowShown="0" headerRowDxfId="32" dataDxfId="31" tableBorderDxfId="30" headerRowCellStyle="Accent1" dataCellStyle="Comma">
  <autoFilter ref="A5:F12" xr:uid="{1D8A7CBC-4A30-4C7C-964F-D9CBDB47CC90}"/>
  <tableColumns count="6">
    <tableColumn id="1" xr3:uid="{2F94346E-E0EA-47AE-AF41-8DD970E06AD6}" name="Type" dataDxfId="29"/>
    <tableColumn id="2" xr3:uid="{BEE3C5DC-BC7B-4AA5-9BF0-04EB289D8673}" name="Quarter 1" dataDxfId="28" dataCellStyle="Comma"/>
    <tableColumn id="3" xr3:uid="{CA2E8CBA-F8C7-4C94-BA56-4E194A601DCF}" name="Quarter 2" dataDxfId="27" dataCellStyle="Comma"/>
    <tableColumn id="4" xr3:uid="{E40F8DFA-2782-4D31-B4F5-9BA4DC73C526}" name="Quarter 3" dataDxfId="26" dataCellStyle="Comma"/>
    <tableColumn id="5" xr3:uid="{306BC3DB-956E-4C10-9DDE-138FBBE4DCA0}" name="Quarter 4" dataDxfId="25" dataCellStyle="Comma"/>
    <tableColumn id="6" xr3:uid="{6BA7C713-B6F2-425C-8EDB-AE0240BE7A7C}" name="Tot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jects" displayName="Projects" ref="A1:G23" totalsRowShown="0" headerRowDxfId="24">
  <tableColumns count="7">
    <tableColumn id="9" xr3:uid="{00000000-0010-0000-0000-000009000000}" name="ID" dataDxfId="23"/>
    <tableColumn id="1" xr3:uid="{00000000-0010-0000-0000-000001000000}" name="Project Name" dataDxfId="22"/>
    <tableColumn id="3" xr3:uid="{00000000-0010-0000-0000-000003000000}" name="Project Type" dataDxfId="21"/>
    <tableColumn id="2" xr3:uid="{00000000-0010-0000-0000-000002000000}" name="Start Date" dataDxfId="20"/>
    <tableColumn id="6" xr3:uid="{00000000-0010-0000-0000-000006000000}" name="Budget" dataDxfId="19" dataCellStyle="Comma"/>
    <tableColumn id="4" xr3:uid="{00000000-0010-0000-0000-000004000000}" name="Approved?" dataDxfId="18"/>
    <tableColumn id="5" xr3:uid="{8B51CB7F-6D67-47D3-ABF9-AC5D2F38CF95}" name="Delay?" dataDxfId="17">
      <calculatedColumnFormula>AND(Projects[[#This Row],[Project Type]]="Drama",Projects[[#This Row],[Approved?]]="No")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5FC1DBB-9293-4F25-B60F-640A84A4F825}" name="Table5" displayName="Table5" ref="A28:F36" totalsRowShown="0" headerRowDxfId="16" headerRowBorderDxfId="15" tableBorderDxfId="14" totalsRowBorderDxfId="13">
  <autoFilter ref="A28:F36" xr:uid="{BE9547B2-BBAC-4DB4-BB07-E9431646A00B}">
    <filterColumn colId="2">
      <filters>
        <filter val="TV show"/>
      </filters>
    </filterColumn>
  </autoFilter>
  <tableColumns count="6">
    <tableColumn id="1" xr3:uid="{D282FBDD-4D1F-4F2A-90F9-31EB25183FCB}" name="ID" dataDxfId="12"/>
    <tableColumn id="2" xr3:uid="{CED459F9-3160-404D-9F83-C27E15260B3E}" name="Project Name" dataDxfId="11"/>
    <tableColumn id="3" xr3:uid="{0CD66718-347B-43D1-AC0F-15DE083BBE4A}" name="Project Type" dataDxfId="10"/>
    <tableColumn id="4" xr3:uid="{C09DA2D4-6556-45B7-B71D-24E79FFAE704}" name="Start Date" dataDxfId="9"/>
    <tableColumn id="5" xr3:uid="{50E9600C-B0C5-48C4-8787-FD1C028BDE50}" name="Budget" dataDxfId="8" dataCellStyle="Comma"/>
    <tableColumn id="6" xr3:uid="{FC4A19E5-952C-4B03-9604-340C9BD90F37}" name="Approved?" dataDxfId="7" dataCellStyle="Currenc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Lookup3" displayName="Lookup3" ref="A1:E23" totalsRowShown="0" headerRowDxfId="6" dataDxfId="5">
  <autoFilter ref="A1:E23" xr:uid="{00000000-0009-0000-0100-000002000000}"/>
  <tableColumns count="5">
    <tableColumn id="9" xr3:uid="{00000000-0010-0000-0100-000009000000}" name="ID" dataDxfId="4"/>
    <tableColumn id="1" xr3:uid="{00000000-0010-0000-0100-000001000000}" name="Project Name" dataDxfId="3"/>
    <tableColumn id="3" xr3:uid="{00000000-0010-0000-0100-000003000000}" name="Project Type" dataDxfId="2"/>
    <tableColumn id="2" xr3:uid="{00000000-0010-0000-0100-000002000000}" name="Start Date" dataDxfId="1"/>
    <tableColumn id="6" xr3:uid="{00000000-0010-0000-0100-000006000000}" name="Budge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Berlin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Berlin">
      <a:maj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erli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erlin" id="{7B5DBA9E-B069-418E-9360-A61BDD0615A4}" vid="{C0CBE056-4EF4-4D92-969E-947779DA7AA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zoomScaleNormal="100" workbookViewId="0">
      <selection activeCell="A8" sqref="A8:C10"/>
    </sheetView>
  </sheetViews>
  <sheetFormatPr defaultColWidth="8.75" defaultRowHeight="12.75" x14ac:dyDescent="0.2"/>
  <cols>
    <col min="1" max="1" width="8.625" style="3" customWidth="1"/>
    <col min="2" max="2" width="80.625" style="3" customWidth="1"/>
    <col min="3" max="3" width="3.625" style="3" customWidth="1"/>
    <col min="4" max="16384" width="8.75" style="3"/>
  </cols>
  <sheetData>
    <row r="1" spans="1:3" ht="32.25" customHeight="1" x14ac:dyDescent="0.25">
      <c r="A1" s="9"/>
      <c r="B1" s="9" t="s">
        <v>123</v>
      </c>
      <c r="C1" s="10"/>
    </row>
    <row r="2" spans="1:3" ht="5.0999999999999996" customHeight="1" x14ac:dyDescent="0.3">
      <c r="A2" s="11"/>
      <c r="B2"/>
      <c r="C2" s="6"/>
    </row>
    <row r="3" spans="1:3" s="4" customFormat="1" ht="34.5" x14ac:dyDescent="0.25">
      <c r="A3" s="2"/>
      <c r="B3" s="12" t="s">
        <v>30</v>
      </c>
      <c r="C3" s="7"/>
    </row>
    <row r="4" spans="1:3" ht="16.5" x14ac:dyDescent="0.25">
      <c r="A4" s="2"/>
      <c r="B4" s="13" t="s">
        <v>31</v>
      </c>
      <c r="C4" s="6"/>
    </row>
    <row r="5" spans="1:3" ht="15.75" customHeight="1" x14ac:dyDescent="0.25">
      <c r="A5" s="2"/>
      <c r="B5" s="2"/>
      <c r="C5" s="6"/>
    </row>
    <row r="6" spans="1:3" ht="13.5" x14ac:dyDescent="0.25">
      <c r="A6" s="5" t="s">
        <v>2</v>
      </c>
      <c r="B6" s="8" t="s">
        <v>1</v>
      </c>
      <c r="C6" s="6"/>
    </row>
    <row r="7" spans="1:3" ht="13.5" x14ac:dyDescent="0.25">
      <c r="A7" s="2"/>
      <c r="B7" s="2"/>
      <c r="C7" s="6"/>
    </row>
    <row r="8" spans="1:3" x14ac:dyDescent="0.2">
      <c r="A8" s="124" t="s">
        <v>0</v>
      </c>
      <c r="B8" s="124"/>
      <c r="C8" s="125"/>
    </row>
    <row r="9" spans="1:3" x14ac:dyDescent="0.2">
      <c r="A9" s="124"/>
      <c r="B9" s="124"/>
      <c r="C9" s="125"/>
    </row>
    <row r="10" spans="1:3" ht="13.5" thickBot="1" x14ac:dyDescent="0.25">
      <c r="A10" s="126"/>
      <c r="B10" s="126"/>
      <c r="C10" s="127"/>
    </row>
    <row r="11" spans="1:3" ht="13.5" thickTop="1" x14ac:dyDescent="0.2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 xr:uid="{00000000-0002-0000-0000-000000000000}"/>
    <dataValidation allowBlank="1" error="pavI8MeUFtEyxX2I4tky4110bfd2-b078-4de6-8830-440a6f7593d0" sqref="A1:C2 A3:C3 A4:C11" xr:uid="{00000000-0002-0000-0000-000001000000}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workbookViewId="0">
      <selection activeCell="K10" sqref="K10"/>
    </sheetView>
  </sheetViews>
  <sheetFormatPr defaultRowHeight="16.5" x14ac:dyDescent="0.3"/>
  <cols>
    <col min="1" max="1" width="13.75" bestFit="1" customWidth="1"/>
    <col min="2" max="2" width="15.5" customWidth="1"/>
    <col min="3" max="6" width="15.5" bestFit="1" customWidth="1"/>
    <col min="7" max="7" width="9" bestFit="1" customWidth="1"/>
    <col min="8" max="11" width="15.5" customWidth="1"/>
  </cols>
  <sheetData>
    <row r="1" spans="1:11" ht="23.25" x14ac:dyDescent="0.35">
      <c r="A1" s="129" t="s">
        <v>30</v>
      </c>
      <c r="B1" s="129"/>
      <c r="C1" s="129"/>
      <c r="D1" s="129"/>
      <c r="E1" s="129"/>
      <c r="F1" s="129"/>
      <c r="G1" t="s">
        <v>25</v>
      </c>
      <c r="H1" s="22">
        <f ca="1">TODAY()</f>
        <v>43758</v>
      </c>
    </row>
    <row r="2" spans="1:11" ht="18.75" thickBot="1" x14ac:dyDescent="0.4">
      <c r="A2" s="130" t="s">
        <v>26</v>
      </c>
      <c r="B2" s="130"/>
      <c r="C2" s="130"/>
      <c r="D2" s="130"/>
      <c r="E2" s="130"/>
      <c r="F2" s="130"/>
      <c r="G2" t="s">
        <v>42</v>
      </c>
      <c r="H2" s="26">
        <v>9.9499999999999993</v>
      </c>
      <c r="I2" t="s">
        <v>43</v>
      </c>
      <c r="J2" s="26">
        <v>12.95</v>
      </c>
    </row>
    <row r="3" spans="1:11" ht="17.25" thickTop="1" x14ac:dyDescent="0.3">
      <c r="A3" s="16" t="s">
        <v>46</v>
      </c>
    </row>
    <row r="4" spans="1:11" ht="20.25" customHeight="1" x14ac:dyDescent="0.3">
      <c r="A4" s="131" t="s">
        <v>45</v>
      </c>
      <c r="B4" s="131"/>
      <c r="C4" s="131"/>
      <c r="D4" s="131"/>
      <c r="E4" s="131"/>
      <c r="F4" s="131"/>
      <c r="H4" s="131" t="s">
        <v>44</v>
      </c>
      <c r="I4" s="131"/>
      <c r="J4" s="131"/>
      <c r="K4" s="131"/>
    </row>
    <row r="5" spans="1:11" ht="18" customHeight="1" x14ac:dyDescent="0.3">
      <c r="A5" s="75" t="s">
        <v>3</v>
      </c>
      <c r="B5" s="76" t="s">
        <v>32</v>
      </c>
      <c r="C5" s="76" t="s">
        <v>33</v>
      </c>
      <c r="D5" s="76" t="s">
        <v>34</v>
      </c>
      <c r="E5" s="76" t="s">
        <v>35</v>
      </c>
      <c r="F5" s="76" t="s">
        <v>27</v>
      </c>
      <c r="H5" s="76" t="s">
        <v>32</v>
      </c>
      <c r="I5" s="76" t="s">
        <v>33</v>
      </c>
      <c r="J5" s="76" t="s">
        <v>34</v>
      </c>
      <c r="K5" s="76" t="s">
        <v>35</v>
      </c>
    </row>
    <row r="6" spans="1:11" x14ac:dyDescent="0.3">
      <c r="A6" s="35" t="s">
        <v>40</v>
      </c>
      <c r="B6" s="36">
        <v>12873.34</v>
      </c>
      <c r="C6" s="36">
        <v>13869.22</v>
      </c>
      <c r="D6" s="36">
        <v>15904.17</v>
      </c>
      <c r="E6" s="36">
        <v>15874.43</v>
      </c>
      <c r="F6" s="73">
        <f t="shared" ref="F6:F11" si="0">SUM(B6:E6)</f>
        <v>58521.159999999996</v>
      </c>
      <c r="H6" s="132" t="s">
        <v>47</v>
      </c>
      <c r="I6" s="132"/>
      <c r="J6" s="132"/>
      <c r="K6" s="132"/>
    </row>
    <row r="7" spans="1:11" x14ac:dyDescent="0.3">
      <c r="A7" s="37" t="s">
        <v>41</v>
      </c>
      <c r="B7" s="38">
        <v>10027.27</v>
      </c>
      <c r="C7" s="38">
        <v>11095.67</v>
      </c>
      <c r="D7" s="38">
        <v>11124.24</v>
      </c>
      <c r="E7" s="38">
        <v>11006.08</v>
      </c>
      <c r="F7" s="74">
        <f t="shared" si="0"/>
        <v>43253.26</v>
      </c>
      <c r="H7" s="38">
        <f>AVERAGE(B12:E12)</f>
        <v>84309.150000000009</v>
      </c>
      <c r="I7" s="38">
        <v>86206</v>
      </c>
      <c r="J7" s="38">
        <v>88103</v>
      </c>
      <c r="K7" s="38">
        <v>90000</v>
      </c>
    </row>
    <row r="8" spans="1:11" x14ac:dyDescent="0.3">
      <c r="A8" s="35" t="s">
        <v>37</v>
      </c>
      <c r="B8" s="36">
        <v>20193.55</v>
      </c>
      <c r="C8" s="36">
        <v>21282.15</v>
      </c>
      <c r="D8" s="36">
        <v>21130.43</v>
      </c>
      <c r="E8" s="36">
        <v>21215.59</v>
      </c>
      <c r="F8" s="73">
        <f t="shared" si="0"/>
        <v>83821.72</v>
      </c>
      <c r="H8" s="128" t="s">
        <v>48</v>
      </c>
      <c r="I8" s="128"/>
      <c r="J8" s="128"/>
      <c r="K8" s="128"/>
    </row>
    <row r="9" spans="1:11" x14ac:dyDescent="0.3">
      <c r="A9" s="37" t="s">
        <v>38</v>
      </c>
      <c r="B9" s="38">
        <v>9489.16</v>
      </c>
      <c r="C9" s="38">
        <v>10036.08</v>
      </c>
      <c r="D9" s="38">
        <v>10798.98</v>
      </c>
      <c r="E9" s="38">
        <v>9803.34</v>
      </c>
      <c r="F9" s="74">
        <f t="shared" si="0"/>
        <v>40127.56</v>
      </c>
      <c r="H9" s="38">
        <f>H7</f>
        <v>84309.150000000009</v>
      </c>
      <c r="I9" s="97">
        <f>1.02*H9</f>
        <v>85995.333000000013</v>
      </c>
      <c r="J9" s="97">
        <f>1.02*I9</f>
        <v>87715.239660000021</v>
      </c>
      <c r="K9" s="97">
        <f>1.02*J9</f>
        <v>89469.544453200026</v>
      </c>
    </row>
    <row r="10" spans="1:11" x14ac:dyDescent="0.3">
      <c r="A10" s="35" t="s">
        <v>39</v>
      </c>
      <c r="B10" s="36">
        <v>6405.95</v>
      </c>
      <c r="C10" s="36">
        <v>6788.96</v>
      </c>
      <c r="D10" s="36">
        <v>5239.33</v>
      </c>
      <c r="E10" s="36">
        <v>6011.16</v>
      </c>
      <c r="F10" s="73">
        <f t="shared" si="0"/>
        <v>24445.399999999998</v>
      </c>
    </row>
    <row r="11" spans="1:11" x14ac:dyDescent="0.3">
      <c r="A11" s="37" t="s">
        <v>36</v>
      </c>
      <c r="B11" s="38">
        <v>20397.330000000002</v>
      </c>
      <c r="C11" s="38">
        <v>21655.78</v>
      </c>
      <c r="D11" s="38">
        <v>22244.400000000001</v>
      </c>
      <c r="E11" s="38">
        <v>22769.99</v>
      </c>
      <c r="F11" s="74">
        <f t="shared" si="0"/>
        <v>87067.5</v>
      </c>
    </row>
    <row r="12" spans="1:11" x14ac:dyDescent="0.3">
      <c r="A12" s="39" t="s">
        <v>27</v>
      </c>
      <c r="B12" s="72">
        <f>SUM(B6:B11)</f>
        <v>79386.600000000006</v>
      </c>
      <c r="C12" s="72">
        <f t="shared" ref="C12:F12" si="1">SUM(C6:C11)</f>
        <v>84727.86</v>
      </c>
      <c r="D12" s="72">
        <f t="shared" si="1"/>
        <v>86441.549999999988</v>
      </c>
      <c r="E12" s="72">
        <f t="shared" si="1"/>
        <v>86680.590000000011</v>
      </c>
      <c r="F12" s="72">
        <f t="shared" si="1"/>
        <v>337236.6</v>
      </c>
      <c r="G12" s="40"/>
    </row>
    <row r="13" spans="1:11" x14ac:dyDescent="0.3">
      <c r="H13" s="40"/>
      <c r="I13" s="40"/>
      <c r="J13" s="40"/>
      <c r="K13" s="40"/>
    </row>
  </sheetData>
  <sortState ref="A6:F11">
    <sortCondition ref="A6"/>
  </sortState>
  <mergeCells count="6">
    <mergeCell ref="H8:K8"/>
    <mergeCell ref="A1:F1"/>
    <mergeCell ref="A2:F2"/>
    <mergeCell ref="A4:F4"/>
    <mergeCell ref="H4:K4"/>
    <mergeCell ref="H6:K6"/>
  </mergeCells>
  <dataValidations count="1">
    <dataValidation allowBlank="1" error="pavI8MeUFtEyxX2I4tky4110bfd2-b078-4de6-8830-440a6f7593d0" sqref="A1:K13" xr:uid="{00000000-0002-0000-0100-000000000000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6"/>
  <sheetViews>
    <sheetView workbookViewId="0">
      <selection activeCell="K10" sqref="K10"/>
    </sheetView>
  </sheetViews>
  <sheetFormatPr defaultRowHeight="16.5" x14ac:dyDescent="0.3"/>
  <cols>
    <col min="1" max="1" width="13.75" bestFit="1" customWidth="1"/>
    <col min="2" max="2" width="15.5" customWidth="1"/>
    <col min="3" max="6" width="15.5" bestFit="1" customWidth="1"/>
    <col min="7" max="7" width="9" bestFit="1" customWidth="1"/>
    <col min="8" max="11" width="15.5" customWidth="1"/>
  </cols>
  <sheetData>
    <row r="1" spans="1:11" ht="23.25" x14ac:dyDescent="0.35">
      <c r="A1" s="129" t="s">
        <v>30</v>
      </c>
      <c r="B1" s="129"/>
      <c r="C1" s="129"/>
      <c r="D1" s="129"/>
      <c r="E1" s="129"/>
      <c r="F1" s="129"/>
      <c r="G1" t="s">
        <v>25</v>
      </c>
      <c r="H1" s="22">
        <f ca="1">TODAY()</f>
        <v>43758</v>
      </c>
    </row>
    <row r="2" spans="1:11" ht="18.75" thickBot="1" x14ac:dyDescent="0.4">
      <c r="A2" s="130" t="s">
        <v>28</v>
      </c>
      <c r="B2" s="130"/>
      <c r="C2" s="130"/>
      <c r="D2" s="130"/>
      <c r="E2" s="130"/>
      <c r="F2" s="130"/>
      <c r="G2" t="s">
        <v>42</v>
      </c>
      <c r="H2" s="26">
        <v>10.95</v>
      </c>
      <c r="I2" t="s">
        <v>43</v>
      </c>
      <c r="J2" s="26">
        <v>13.95</v>
      </c>
    </row>
    <row r="3" spans="1:11" ht="17.25" thickTop="1" x14ac:dyDescent="0.3">
      <c r="A3" s="16" t="s">
        <v>46</v>
      </c>
    </row>
    <row r="4" spans="1:11" ht="20.25" customHeight="1" x14ac:dyDescent="0.3">
      <c r="A4" s="131" t="s">
        <v>45</v>
      </c>
      <c r="B4" s="131"/>
      <c r="C4" s="131"/>
      <c r="D4" s="131"/>
      <c r="E4" s="131"/>
      <c r="F4" s="131"/>
      <c r="H4" s="131" t="s">
        <v>44</v>
      </c>
      <c r="I4" s="131"/>
      <c r="J4" s="131"/>
      <c r="K4" s="131"/>
    </row>
    <row r="5" spans="1:11" ht="18" customHeight="1" x14ac:dyDescent="0.3">
      <c r="A5" s="75" t="s">
        <v>3</v>
      </c>
      <c r="B5" s="76" t="s">
        <v>32</v>
      </c>
      <c r="C5" s="76" t="s">
        <v>33</v>
      </c>
      <c r="D5" s="76" t="s">
        <v>34</v>
      </c>
      <c r="E5" s="76" t="s">
        <v>35</v>
      </c>
      <c r="F5" s="76" t="s">
        <v>27</v>
      </c>
      <c r="H5" s="76" t="s">
        <v>32</v>
      </c>
      <c r="I5" s="76" t="s">
        <v>33</v>
      </c>
      <c r="J5" s="76" t="s">
        <v>34</v>
      </c>
      <c r="K5" s="76" t="s">
        <v>35</v>
      </c>
    </row>
    <row r="6" spans="1:11" x14ac:dyDescent="0.3">
      <c r="A6" s="35" t="s">
        <v>40</v>
      </c>
      <c r="B6" s="36">
        <v>9068.8799999999992</v>
      </c>
      <c r="C6" s="36">
        <v>9082.86</v>
      </c>
      <c r="D6" s="36">
        <v>9120.23</v>
      </c>
      <c r="E6" s="36">
        <v>10015.33</v>
      </c>
      <c r="F6" s="73">
        <f>SUM(B6:E6)</f>
        <v>37287.299999999996</v>
      </c>
      <c r="H6" s="132" t="s">
        <v>50</v>
      </c>
      <c r="I6" s="132"/>
      <c r="J6" s="132"/>
      <c r="K6" s="132"/>
    </row>
    <row r="7" spans="1:11" x14ac:dyDescent="0.3">
      <c r="A7" s="37" t="s">
        <v>41</v>
      </c>
      <c r="B7" s="38">
        <v>6189.92</v>
      </c>
      <c r="C7" s="38">
        <v>6836.38</v>
      </c>
      <c r="D7" s="38">
        <v>7084.45</v>
      </c>
      <c r="E7" s="38">
        <v>6408.09</v>
      </c>
      <c r="F7" s="74">
        <f t="shared" ref="F7:F11" si="0">SUM(B7:E7)</f>
        <v>26518.84</v>
      </c>
      <c r="H7" s="38">
        <f>AVERAGE(B12:E12)</f>
        <v>57891.240000000005</v>
      </c>
      <c r="I7" s="38">
        <v>86206</v>
      </c>
      <c r="J7" s="38">
        <v>88103</v>
      </c>
      <c r="K7" s="38"/>
    </row>
    <row r="8" spans="1:11" x14ac:dyDescent="0.3">
      <c r="A8" s="35" t="s">
        <v>37</v>
      </c>
      <c r="B8" s="36">
        <v>12005.56</v>
      </c>
      <c r="C8" s="36">
        <v>12488.18</v>
      </c>
      <c r="D8" s="36">
        <v>12339.34</v>
      </c>
      <c r="E8" s="36">
        <v>12411.28</v>
      </c>
      <c r="F8" s="73">
        <f t="shared" si="0"/>
        <v>49244.36</v>
      </c>
      <c r="H8" s="133" t="s">
        <v>48</v>
      </c>
      <c r="I8" s="133"/>
      <c r="J8" s="133"/>
      <c r="K8" s="133"/>
    </row>
    <row r="9" spans="1:11" x14ac:dyDescent="0.3">
      <c r="A9" s="37" t="s">
        <v>38</v>
      </c>
      <c r="B9" s="38">
        <v>10907.72</v>
      </c>
      <c r="C9" s="38">
        <v>11055.82</v>
      </c>
      <c r="D9" s="38">
        <v>11144.19</v>
      </c>
      <c r="E9" s="38">
        <v>11469.87</v>
      </c>
      <c r="F9" s="74">
        <f t="shared" si="0"/>
        <v>44577.600000000006</v>
      </c>
      <c r="H9" s="43">
        <f>H7</f>
        <v>57891.240000000005</v>
      </c>
      <c r="I9" s="37">
        <f>1.02*H9</f>
        <v>59049.064800000007</v>
      </c>
      <c r="J9" s="37">
        <f>1.02*I9</f>
        <v>60230.046096000005</v>
      </c>
      <c r="K9" s="37">
        <f>1.02*J9</f>
        <v>61434.647017920004</v>
      </c>
    </row>
    <row r="10" spans="1:11" x14ac:dyDescent="0.3">
      <c r="A10" s="35" t="s">
        <v>39</v>
      </c>
      <c r="B10" s="36">
        <v>7731.16</v>
      </c>
      <c r="C10" s="36">
        <v>7792.27</v>
      </c>
      <c r="D10" s="36">
        <v>8045.58</v>
      </c>
      <c r="E10" s="36">
        <v>8174.14</v>
      </c>
      <c r="F10" s="73">
        <f t="shared" si="0"/>
        <v>31743.15</v>
      </c>
    </row>
    <row r="11" spans="1:11" x14ac:dyDescent="0.3">
      <c r="A11" s="37" t="s">
        <v>36</v>
      </c>
      <c r="B11" s="38">
        <v>9707.4699999999993</v>
      </c>
      <c r="C11" s="38">
        <v>10795.92</v>
      </c>
      <c r="D11" s="38">
        <v>10824.24</v>
      </c>
      <c r="E11" s="38">
        <v>10866.08</v>
      </c>
      <c r="F11" s="74">
        <f t="shared" si="0"/>
        <v>42193.71</v>
      </c>
    </row>
    <row r="12" spans="1:11" x14ac:dyDescent="0.3">
      <c r="A12" s="39" t="s">
        <v>27</v>
      </c>
      <c r="B12" s="72">
        <f>SUM(B6:B11)</f>
        <v>55610.710000000006</v>
      </c>
      <c r="C12" s="72">
        <f t="shared" ref="C12:F12" si="1">SUM(C6:C11)</f>
        <v>58051.430000000008</v>
      </c>
      <c r="D12" s="72">
        <f t="shared" si="1"/>
        <v>58558.03</v>
      </c>
      <c r="E12" s="72">
        <f t="shared" si="1"/>
        <v>59344.79</v>
      </c>
      <c r="F12" s="72">
        <f t="shared" si="1"/>
        <v>231564.96</v>
      </c>
      <c r="G12" s="40"/>
    </row>
    <row r="13" spans="1:11" x14ac:dyDescent="0.3">
      <c r="H13" s="40"/>
      <c r="I13" s="40"/>
      <c r="J13" s="40"/>
      <c r="K13" s="40"/>
    </row>
    <row r="15" spans="1:11" x14ac:dyDescent="0.3">
      <c r="H15" s="40"/>
      <c r="I15" s="40"/>
      <c r="J15" s="40"/>
      <c r="K15" s="40"/>
    </row>
    <row r="16" spans="1:11" x14ac:dyDescent="0.3">
      <c r="G16" s="42"/>
    </row>
  </sheetData>
  <mergeCells count="6">
    <mergeCell ref="H8:K8"/>
    <mergeCell ref="A1:F1"/>
    <mergeCell ref="A2:F2"/>
    <mergeCell ref="A4:F4"/>
    <mergeCell ref="H4:K4"/>
    <mergeCell ref="H6:K6"/>
  </mergeCells>
  <dataValidations count="1">
    <dataValidation allowBlank="1" error="pavI8MeUFtEyxX2I4tky4110bfd2-b078-4de6-8830-440a6f7593d0" sqref="A1:K16" xr:uid="{00000000-0002-0000-0200-000000000000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"/>
  <sheetViews>
    <sheetView workbookViewId="0">
      <selection activeCell="K10" sqref="K10"/>
    </sheetView>
  </sheetViews>
  <sheetFormatPr defaultRowHeight="16.5" x14ac:dyDescent="0.3"/>
  <cols>
    <col min="1" max="1" width="13.75" bestFit="1" customWidth="1"/>
    <col min="2" max="2" width="15.5" customWidth="1"/>
    <col min="3" max="6" width="15.5" bestFit="1" customWidth="1"/>
    <col min="7" max="7" width="9" bestFit="1" customWidth="1"/>
    <col min="8" max="11" width="15.5" customWidth="1"/>
  </cols>
  <sheetData>
    <row r="1" spans="1:11" ht="23.25" x14ac:dyDescent="0.35">
      <c r="A1" s="129" t="s">
        <v>30</v>
      </c>
      <c r="B1" s="129"/>
      <c r="C1" s="129"/>
      <c r="D1" s="129"/>
      <c r="E1" s="129"/>
      <c r="F1" s="129"/>
      <c r="G1" t="s">
        <v>25</v>
      </c>
      <c r="H1" s="22">
        <f ca="1">TODAY()</f>
        <v>43758</v>
      </c>
    </row>
    <row r="2" spans="1:11" ht="18.75" thickBot="1" x14ac:dyDescent="0.4">
      <c r="A2" s="130" t="s">
        <v>49</v>
      </c>
      <c r="B2" s="130"/>
      <c r="C2" s="130"/>
      <c r="D2" s="130"/>
      <c r="E2" s="130"/>
      <c r="F2" s="130"/>
      <c r="G2" t="s">
        <v>42</v>
      </c>
      <c r="H2" s="26">
        <v>11.95</v>
      </c>
      <c r="I2" t="s">
        <v>43</v>
      </c>
      <c r="J2" s="26">
        <v>14.95</v>
      </c>
    </row>
    <row r="3" spans="1:11" ht="17.25" thickTop="1" x14ac:dyDescent="0.3">
      <c r="A3" s="16" t="s">
        <v>46</v>
      </c>
    </row>
    <row r="4" spans="1:11" ht="20.25" customHeight="1" x14ac:dyDescent="0.3">
      <c r="A4" s="131" t="s">
        <v>45</v>
      </c>
      <c r="B4" s="131"/>
      <c r="C4" s="131"/>
      <c r="D4" s="131"/>
      <c r="E4" s="131"/>
      <c r="F4" s="131"/>
      <c r="H4" s="131" t="s">
        <v>44</v>
      </c>
      <c r="I4" s="131"/>
      <c r="J4" s="131"/>
      <c r="K4" s="131"/>
    </row>
    <row r="5" spans="1:11" ht="18" customHeight="1" x14ac:dyDescent="0.3">
      <c r="A5" s="75" t="s">
        <v>3</v>
      </c>
      <c r="B5" s="76" t="s">
        <v>32</v>
      </c>
      <c r="C5" s="76" t="s">
        <v>33</v>
      </c>
      <c r="D5" s="76" t="s">
        <v>34</v>
      </c>
      <c r="E5" s="76" t="s">
        <v>35</v>
      </c>
      <c r="F5" s="76" t="s">
        <v>27</v>
      </c>
      <c r="H5" s="76" t="s">
        <v>32</v>
      </c>
      <c r="I5" s="76" t="s">
        <v>33</v>
      </c>
      <c r="J5" s="76" t="s">
        <v>34</v>
      </c>
      <c r="K5" s="76" t="s">
        <v>35</v>
      </c>
    </row>
    <row r="6" spans="1:11" x14ac:dyDescent="0.3">
      <c r="A6" s="35" t="s">
        <v>40</v>
      </c>
      <c r="B6" s="36">
        <v>9652.58</v>
      </c>
      <c r="C6" s="36">
        <v>9705.16</v>
      </c>
      <c r="D6" s="36">
        <v>9807.75</v>
      </c>
      <c r="E6" s="36">
        <v>9812.2800000000007</v>
      </c>
      <c r="F6" s="36">
        <f>SUM(B6:E6)</f>
        <v>38977.769999999997</v>
      </c>
      <c r="H6" s="132" t="s">
        <v>51</v>
      </c>
      <c r="I6" s="132"/>
      <c r="J6" s="132"/>
      <c r="K6" s="132"/>
    </row>
    <row r="7" spans="1:11" x14ac:dyDescent="0.3">
      <c r="A7" s="37" t="s">
        <v>41</v>
      </c>
      <c r="B7" s="38">
        <v>7189.81</v>
      </c>
      <c r="C7" s="38">
        <v>7227.34</v>
      </c>
      <c r="D7" s="38">
        <v>8265.26</v>
      </c>
      <c r="E7" s="38">
        <v>8303.19</v>
      </c>
      <c r="F7" s="38">
        <f t="shared" ref="F7:F11" si="0">SUM(B7:E7)</f>
        <v>30985.600000000006</v>
      </c>
      <c r="H7" s="38">
        <f>AVERAGE(B12:E12)</f>
        <v>61520.597499999996</v>
      </c>
      <c r="I7" s="38">
        <v>86206</v>
      </c>
      <c r="J7" s="38">
        <v>88103</v>
      </c>
      <c r="K7" s="38"/>
    </row>
    <row r="8" spans="1:11" x14ac:dyDescent="0.3">
      <c r="A8" s="35" t="s">
        <v>37</v>
      </c>
      <c r="B8" s="36">
        <v>12805.26</v>
      </c>
      <c r="C8" s="36">
        <v>12928.22</v>
      </c>
      <c r="D8" s="36">
        <v>13007.22</v>
      </c>
      <c r="E8" s="36">
        <v>13175.57</v>
      </c>
      <c r="F8" s="36">
        <f t="shared" si="0"/>
        <v>51916.27</v>
      </c>
      <c r="H8" s="133" t="s">
        <v>48</v>
      </c>
      <c r="I8" s="133"/>
      <c r="J8" s="133"/>
      <c r="K8" s="133"/>
    </row>
    <row r="9" spans="1:11" x14ac:dyDescent="0.3">
      <c r="A9" s="37" t="s">
        <v>38</v>
      </c>
      <c r="B9" s="38">
        <v>10497.92</v>
      </c>
      <c r="C9" s="38">
        <v>11610.66</v>
      </c>
      <c r="D9" s="38">
        <v>11652.34</v>
      </c>
      <c r="E9" s="38">
        <v>10736.37</v>
      </c>
      <c r="F9" s="38">
        <f t="shared" si="0"/>
        <v>44497.29</v>
      </c>
      <c r="H9" s="43">
        <f>H7</f>
        <v>61520.597499999996</v>
      </c>
      <c r="I9" s="37">
        <f>1.02*H9</f>
        <v>62751.009449999998</v>
      </c>
      <c r="J9" s="37">
        <f>1.02*I9</f>
        <v>64006.029639</v>
      </c>
      <c r="K9" s="37">
        <f>1.02*J9</f>
        <v>65286.150231780004</v>
      </c>
    </row>
    <row r="10" spans="1:11" x14ac:dyDescent="0.3">
      <c r="A10" s="35" t="s">
        <v>39</v>
      </c>
      <c r="B10" s="36">
        <v>9712.77</v>
      </c>
      <c r="C10" s="36">
        <v>9799.1</v>
      </c>
      <c r="D10" s="36">
        <v>9886.4500000000007</v>
      </c>
      <c r="E10" s="36">
        <v>9073.32</v>
      </c>
      <c r="F10" s="36">
        <f t="shared" si="0"/>
        <v>38471.64</v>
      </c>
    </row>
    <row r="11" spans="1:11" x14ac:dyDescent="0.3">
      <c r="A11" s="37" t="s">
        <v>36</v>
      </c>
      <c r="B11" s="38">
        <v>10227.51</v>
      </c>
      <c r="C11" s="38">
        <v>10281.91</v>
      </c>
      <c r="D11" s="38">
        <v>10335.290000000001</v>
      </c>
      <c r="E11" s="38">
        <v>10389.11</v>
      </c>
      <c r="F11" s="38">
        <f t="shared" si="0"/>
        <v>41233.82</v>
      </c>
    </row>
    <row r="12" spans="1:11" x14ac:dyDescent="0.3">
      <c r="A12" s="39" t="s">
        <v>27</v>
      </c>
      <c r="B12" s="72">
        <f>SUM(B6:B11)</f>
        <v>60085.85</v>
      </c>
      <c r="C12" s="72">
        <f t="shared" ref="C12:F12" si="1">SUM(C6:C11)</f>
        <v>61552.39</v>
      </c>
      <c r="D12" s="72">
        <f t="shared" si="1"/>
        <v>62954.310000000005</v>
      </c>
      <c r="E12" s="72">
        <f t="shared" si="1"/>
        <v>61489.840000000004</v>
      </c>
      <c r="F12" s="72">
        <f t="shared" si="1"/>
        <v>246082.39</v>
      </c>
      <c r="G12" s="40"/>
    </row>
    <row r="13" spans="1:11" x14ac:dyDescent="0.3">
      <c r="H13" s="40"/>
      <c r="I13" s="40"/>
      <c r="J13" s="40"/>
      <c r="K13" s="40"/>
    </row>
    <row r="15" spans="1:11" x14ac:dyDescent="0.3">
      <c r="H15" s="40"/>
      <c r="I15" s="40"/>
      <c r="J15" s="40"/>
      <c r="K15" s="40"/>
    </row>
    <row r="16" spans="1:11" x14ac:dyDescent="0.3">
      <c r="G16" s="42"/>
    </row>
  </sheetData>
  <mergeCells count="6">
    <mergeCell ref="H8:K8"/>
    <mergeCell ref="H4:K4"/>
    <mergeCell ref="A1:F1"/>
    <mergeCell ref="A2:F2"/>
    <mergeCell ref="A4:F4"/>
    <mergeCell ref="H6:K6"/>
  </mergeCells>
  <dataValidations count="1">
    <dataValidation allowBlank="1" error="pavI8MeUFtEyxX2I4tky4110bfd2-b078-4de6-8830-440a6f7593d0" sqref="A1:K16" xr:uid="{00000000-0002-0000-0300-000000000000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6"/>
  <sheetViews>
    <sheetView topLeftCell="A4" workbookViewId="0">
      <selection activeCell="G41" sqref="G41"/>
    </sheetView>
  </sheetViews>
  <sheetFormatPr defaultRowHeight="16.5" x14ac:dyDescent="0.3"/>
  <cols>
    <col min="1" max="1" width="13.75" bestFit="1" customWidth="1"/>
    <col min="2" max="6" width="15.5" customWidth="1"/>
    <col min="7" max="7" width="13.125" bestFit="1" customWidth="1"/>
    <col min="8" max="15" width="10.625" bestFit="1" customWidth="1"/>
  </cols>
  <sheetData>
    <row r="1" spans="1:15" ht="23.25" x14ac:dyDescent="0.35">
      <c r="A1" s="129" t="s">
        <v>30</v>
      </c>
      <c r="B1" s="129"/>
      <c r="C1" s="129"/>
      <c r="D1" s="129"/>
      <c r="E1" s="129"/>
      <c r="F1" s="129"/>
      <c r="H1" s="22"/>
    </row>
    <row r="2" spans="1:15" ht="18.75" thickBot="1" x14ac:dyDescent="0.4">
      <c r="A2" s="130" t="s">
        <v>29</v>
      </c>
      <c r="B2" s="130"/>
      <c r="C2" s="130"/>
      <c r="D2" s="130"/>
      <c r="E2" s="130"/>
      <c r="F2" s="130"/>
      <c r="H2" s="26"/>
    </row>
    <row r="3" spans="1:15" ht="17.25" thickTop="1" x14ac:dyDescent="0.3">
      <c r="A3" s="16" t="s">
        <v>46</v>
      </c>
    </row>
    <row r="4" spans="1:15" ht="20.25" customHeight="1" x14ac:dyDescent="0.3">
      <c r="A4" s="131" t="s">
        <v>45</v>
      </c>
      <c r="B4" s="131"/>
      <c r="C4" s="131"/>
      <c r="D4" s="131"/>
      <c r="E4" s="131"/>
      <c r="F4" s="131"/>
    </row>
    <row r="5" spans="1:15" ht="18" customHeight="1" x14ac:dyDescent="0.3">
      <c r="A5" s="75" t="s">
        <v>3</v>
      </c>
      <c r="B5" s="76" t="s">
        <v>32</v>
      </c>
      <c r="C5" s="76" t="s">
        <v>33</v>
      </c>
      <c r="D5" s="76" t="s">
        <v>34</v>
      </c>
      <c r="E5" s="76" t="s">
        <v>35</v>
      </c>
      <c r="F5" s="76" t="s">
        <v>27</v>
      </c>
    </row>
    <row r="6" spans="1:15" x14ac:dyDescent="0.3">
      <c r="A6" s="35" t="s">
        <v>40</v>
      </c>
      <c r="B6" s="73">
        <f>SUM(U.S.:U.K.!B6)</f>
        <v>31594.800000000003</v>
      </c>
      <c r="C6" s="73">
        <f>SUM(U.S.:U.K.!C6)</f>
        <v>32657.24</v>
      </c>
      <c r="D6" s="73">
        <f>SUM(U.S.:U.K.!D6)</f>
        <v>34832.15</v>
      </c>
      <c r="E6" s="73">
        <f>SUM(U.S.:U.K.!E6)</f>
        <v>35702.04</v>
      </c>
      <c r="F6" s="73">
        <f>SUM(B6:E6)</f>
        <v>134786.23000000001</v>
      </c>
    </row>
    <row r="7" spans="1:15" x14ac:dyDescent="0.3">
      <c r="A7" s="37" t="s">
        <v>41</v>
      </c>
      <c r="B7" s="73">
        <f>SUM(U.S.:U.K.!B7)</f>
        <v>23407</v>
      </c>
      <c r="C7" s="73">
        <f>SUM(U.S.:U.K.!C7)</f>
        <v>25159.39</v>
      </c>
      <c r="D7" s="73">
        <f>SUM(U.S.:U.K.!D7)</f>
        <v>26473.949999999997</v>
      </c>
      <c r="E7" s="73">
        <f>SUM(U.S.:U.K.!E7)</f>
        <v>25717.360000000001</v>
      </c>
      <c r="F7" s="74">
        <f t="shared" ref="F7:F11" si="0">SUM(B7:E7)</f>
        <v>100757.7</v>
      </c>
    </row>
    <row r="8" spans="1:15" x14ac:dyDescent="0.3">
      <c r="A8" s="35" t="s">
        <v>37</v>
      </c>
      <c r="B8" s="73">
        <f>SUM(U.S.:U.K.!B8)</f>
        <v>45004.37</v>
      </c>
      <c r="C8" s="73">
        <f>SUM(U.S.:U.K.!C8)</f>
        <v>46698.55</v>
      </c>
      <c r="D8" s="73">
        <f>SUM(U.S.:U.K.!D8)</f>
        <v>46476.990000000005</v>
      </c>
      <c r="E8" s="73">
        <f>SUM(U.S.:U.K.!E8)</f>
        <v>46802.44</v>
      </c>
      <c r="F8" s="73">
        <f t="shared" si="0"/>
        <v>184982.35000000003</v>
      </c>
    </row>
    <row r="9" spans="1:15" x14ac:dyDescent="0.3">
      <c r="A9" s="37" t="s">
        <v>38</v>
      </c>
      <c r="B9" s="73">
        <f>SUM(U.S.:U.K.!B9)</f>
        <v>30894.799999999996</v>
      </c>
      <c r="C9" s="73">
        <f>SUM(U.S.:U.K.!C9)</f>
        <v>32702.560000000001</v>
      </c>
      <c r="D9" s="73">
        <f>SUM(U.S.:U.K.!D9)</f>
        <v>33595.509999999995</v>
      </c>
      <c r="E9" s="73">
        <f>SUM(U.S.:U.K.!E9)</f>
        <v>32009.58</v>
      </c>
      <c r="F9" s="74">
        <f t="shared" si="0"/>
        <v>129202.45</v>
      </c>
    </row>
    <row r="10" spans="1:15" x14ac:dyDescent="0.3">
      <c r="A10" s="35" t="s">
        <v>39</v>
      </c>
      <c r="B10" s="73">
        <f>SUM(U.S.:U.K.!B10)</f>
        <v>23849.88</v>
      </c>
      <c r="C10" s="73">
        <f>SUM(U.S.:U.K.!C10)</f>
        <v>24380.33</v>
      </c>
      <c r="D10" s="73">
        <f>SUM(U.S.:U.K.!D10)</f>
        <v>23171.360000000001</v>
      </c>
      <c r="E10" s="73">
        <f>SUM(U.S.:U.K.!E10)</f>
        <v>23258.62</v>
      </c>
      <c r="F10" s="73">
        <f t="shared" si="0"/>
        <v>94660.19</v>
      </c>
    </row>
    <row r="11" spans="1:15" x14ac:dyDescent="0.3">
      <c r="A11" s="37" t="s">
        <v>36</v>
      </c>
      <c r="B11" s="73">
        <f>SUM(U.S.:U.K.!B11)</f>
        <v>40332.310000000005</v>
      </c>
      <c r="C11" s="73">
        <f>SUM(U.S.:U.K.!C11)</f>
        <v>42733.61</v>
      </c>
      <c r="D11" s="73">
        <f>SUM(U.S.:U.K.!D11)</f>
        <v>43403.93</v>
      </c>
      <c r="E11" s="73">
        <f>SUM(U.S.:U.K.!E11)</f>
        <v>44025.18</v>
      </c>
      <c r="F11" s="74">
        <f t="shared" si="0"/>
        <v>170495.03</v>
      </c>
    </row>
    <row r="12" spans="1:15" x14ac:dyDescent="0.3">
      <c r="A12" s="99" t="s">
        <v>27</v>
      </c>
      <c r="B12" s="100">
        <f>ROUND(SUM(B6:B11),0)</f>
        <v>195083</v>
      </c>
      <c r="C12" s="100">
        <f t="shared" ref="C12:F12" si="1">ROUND(SUM(C6:C11),0)</f>
        <v>204332</v>
      </c>
      <c r="D12" s="100">
        <f t="shared" si="1"/>
        <v>207954</v>
      </c>
      <c r="E12" s="100">
        <f t="shared" si="1"/>
        <v>207515</v>
      </c>
      <c r="F12" s="100">
        <f t="shared" si="1"/>
        <v>814884</v>
      </c>
      <c r="G12" s="40"/>
    </row>
    <row r="13" spans="1:15" x14ac:dyDescent="0.3">
      <c r="H13" s="40"/>
      <c r="I13" s="40"/>
      <c r="J13" s="40"/>
      <c r="K13" s="40"/>
      <c r="L13" s="40"/>
      <c r="M13" s="40"/>
      <c r="N13" s="40"/>
      <c r="O13" s="40"/>
    </row>
    <row r="14" spans="1:15" x14ac:dyDescent="0.3">
      <c r="E14" s="71" t="s">
        <v>112</v>
      </c>
      <c r="F14" s="98">
        <f>'[1]All Locations'!$F$12</f>
        <v>767912.1</v>
      </c>
    </row>
    <row r="15" spans="1:15" x14ac:dyDescent="0.3">
      <c r="H15" s="41"/>
      <c r="I15" s="41"/>
      <c r="J15" s="41"/>
      <c r="K15" s="41"/>
      <c r="L15" s="41"/>
      <c r="M15" s="41"/>
      <c r="N15" s="41"/>
      <c r="O15" s="41"/>
    </row>
    <row r="16" spans="1:15" x14ac:dyDescent="0.3">
      <c r="G16" s="42"/>
    </row>
  </sheetData>
  <mergeCells count="3">
    <mergeCell ref="A1:F1"/>
    <mergeCell ref="A2:F2"/>
    <mergeCell ref="A4:F4"/>
  </mergeCells>
  <dataValidations count="1">
    <dataValidation allowBlank="1" error="pavI8MeUFtEyxX2I4tky4110bfd2-b078-4de6-8830-440a6f7593d0" sqref="A1:O16" xr:uid="{00000000-0002-0000-0400-000000000000}"/>
  </dataValidations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6"/>
  <sheetViews>
    <sheetView topLeftCell="D18" zoomScaleNormal="100" workbookViewId="0">
      <selection activeCell="H30" sqref="H30"/>
    </sheetView>
  </sheetViews>
  <sheetFormatPr defaultRowHeight="16.5" x14ac:dyDescent="0.3"/>
  <cols>
    <col min="1" max="1" width="6.875" bestFit="1" customWidth="1"/>
    <col min="2" max="2" width="20.5" bestFit="1" customWidth="1"/>
    <col min="3" max="3" width="16.625" bestFit="1" customWidth="1"/>
    <col min="4" max="4" width="14.125" style="1" bestFit="1" customWidth="1"/>
    <col min="5" max="5" width="11.375" style="1" bestFit="1" customWidth="1"/>
    <col min="6" max="6" width="14.625" bestFit="1" customWidth="1"/>
    <col min="7" max="7" width="10.375" customWidth="1"/>
    <col min="8" max="8" width="18.625" bestFit="1" customWidth="1"/>
    <col min="9" max="9" width="18.625" customWidth="1"/>
    <col min="10" max="10" width="13.75" customWidth="1"/>
    <col min="11" max="11" width="15.5" bestFit="1" customWidth="1"/>
    <col min="12" max="12" width="15.5" customWidth="1"/>
  </cols>
  <sheetData>
    <row r="1" spans="1:11" ht="37.5" customHeight="1" x14ac:dyDescent="0.3">
      <c r="A1" s="44" t="s">
        <v>52</v>
      </c>
      <c r="B1" s="44" t="s">
        <v>53</v>
      </c>
      <c r="C1" s="44" t="s">
        <v>54</v>
      </c>
      <c r="D1" s="45" t="s">
        <v>17</v>
      </c>
      <c r="E1" s="45" t="s">
        <v>59</v>
      </c>
      <c r="F1" s="45" t="s">
        <v>115</v>
      </c>
      <c r="G1" s="122" t="s">
        <v>125</v>
      </c>
      <c r="H1" s="134" t="s">
        <v>55</v>
      </c>
      <c r="I1" s="135"/>
      <c r="J1" s="47"/>
      <c r="K1" s="47"/>
    </row>
    <row r="2" spans="1:11" ht="18" x14ac:dyDescent="0.35">
      <c r="A2" s="48" t="s">
        <v>60</v>
      </c>
      <c r="B2" s="49" t="s">
        <v>84</v>
      </c>
      <c r="C2" s="50" t="s">
        <v>82</v>
      </c>
      <c r="D2" s="86">
        <v>44714</v>
      </c>
      <c r="E2" s="82">
        <v>45500</v>
      </c>
      <c r="F2" s="51" t="s">
        <v>114</v>
      </c>
      <c r="G2" t="b">
        <f>AND(Projects[[#This Row],[Project Type]]="Drama",Projects[[#This Row],[Approved?]]="No")</f>
        <v>0</v>
      </c>
      <c r="H2" s="57" t="s">
        <v>56</v>
      </c>
      <c r="I2" s="58" t="s">
        <v>79</v>
      </c>
      <c r="J2" s="52"/>
      <c r="K2" s="52"/>
    </row>
    <row r="3" spans="1:11" ht="18" x14ac:dyDescent="0.35">
      <c r="A3" s="53" t="s">
        <v>61</v>
      </c>
      <c r="B3" s="49" t="s">
        <v>85</v>
      </c>
      <c r="C3" s="50" t="s">
        <v>82</v>
      </c>
      <c r="D3" s="86">
        <v>44725</v>
      </c>
      <c r="E3" s="82">
        <v>12000</v>
      </c>
      <c r="F3" s="51" t="s">
        <v>117</v>
      </c>
      <c r="G3" t="b">
        <f>AND(Projects[[#This Row],[Project Type]]="Drama",Projects[[#This Row],[Approved?]]="No")</f>
        <v>0</v>
      </c>
      <c r="H3" s="57" t="s">
        <v>53</v>
      </c>
      <c r="I3" s="123" t="s">
        <v>100</v>
      </c>
      <c r="K3" s="52"/>
    </row>
    <row r="4" spans="1:11" ht="18" x14ac:dyDescent="0.35">
      <c r="A4" s="48" t="s">
        <v>76</v>
      </c>
      <c r="B4" s="49" t="s">
        <v>88</v>
      </c>
      <c r="C4" s="50" t="s">
        <v>83</v>
      </c>
      <c r="D4" s="86">
        <v>44754</v>
      </c>
      <c r="E4" s="82">
        <v>22500</v>
      </c>
      <c r="F4" s="51" t="s">
        <v>117</v>
      </c>
      <c r="G4" t="b">
        <f>AND(Projects[[#This Row],[Project Type]]="Drama",Projects[[#This Row],[Approved?]]="No")</f>
        <v>0</v>
      </c>
      <c r="H4" s="57" t="s">
        <v>17</v>
      </c>
      <c r="I4" s="123">
        <v>43547</v>
      </c>
      <c r="J4" s="52">
        <v>0</v>
      </c>
      <c r="K4" s="52"/>
    </row>
    <row r="5" spans="1:11" ht="18" x14ac:dyDescent="0.35">
      <c r="A5" s="48" t="s">
        <v>77</v>
      </c>
      <c r="B5" s="49" t="s">
        <v>122</v>
      </c>
      <c r="C5" s="50" t="s">
        <v>83</v>
      </c>
      <c r="D5" s="86">
        <v>44770</v>
      </c>
      <c r="E5" s="82">
        <v>28500</v>
      </c>
      <c r="F5" s="51" t="s">
        <v>114</v>
      </c>
      <c r="G5" t="b">
        <f>AND(Projects[[#This Row],[Project Type]]="Drama",Projects[[#This Row],[Approved?]]="No")</f>
        <v>0</v>
      </c>
      <c r="J5" s="54"/>
      <c r="K5" s="54"/>
    </row>
    <row r="6" spans="1:11" x14ac:dyDescent="0.3">
      <c r="A6" s="55" t="s">
        <v>62</v>
      </c>
      <c r="B6" s="49" t="s">
        <v>104</v>
      </c>
      <c r="C6" s="50" t="s">
        <v>82</v>
      </c>
      <c r="D6" s="86">
        <v>44805</v>
      </c>
      <c r="E6" s="82">
        <v>23010</v>
      </c>
      <c r="F6" s="51" t="s">
        <v>117</v>
      </c>
      <c r="G6" t="b">
        <f>AND(Projects[[#This Row],[Project Type]]="Drama",Projects[[#This Row],[Approved?]]="No")</f>
        <v>0</v>
      </c>
      <c r="H6" s="57" t="s">
        <v>59</v>
      </c>
      <c r="I6" s="52"/>
      <c r="J6">
        <f>DCOUNT(Projects[#All],"Budget",I6:I7)</f>
        <v>22</v>
      </c>
      <c r="K6" s="52"/>
    </row>
    <row r="7" spans="1:11" ht="18" x14ac:dyDescent="0.35">
      <c r="A7" s="48" t="s">
        <v>65</v>
      </c>
      <c r="B7" s="49" t="s">
        <v>92</v>
      </c>
      <c r="C7" s="50" t="s">
        <v>37</v>
      </c>
      <c r="D7" s="86">
        <v>44824</v>
      </c>
      <c r="E7" s="82">
        <v>18555</v>
      </c>
      <c r="F7" s="51" t="s">
        <v>117</v>
      </c>
      <c r="G7" t="b">
        <f>AND(Projects[[#This Row],[Project Type]]="Drama",Projects[[#This Row],[Approved?]]="No")</f>
        <v>0</v>
      </c>
      <c r="H7" s="57" t="s">
        <v>102</v>
      </c>
      <c r="I7" s="52"/>
      <c r="J7" s="52"/>
      <c r="K7" s="52"/>
    </row>
    <row r="8" spans="1:11" ht="18" x14ac:dyDescent="0.35">
      <c r="A8" s="48" t="s">
        <v>66</v>
      </c>
      <c r="B8" s="49" t="s">
        <v>94</v>
      </c>
      <c r="C8" s="50" t="s">
        <v>37</v>
      </c>
      <c r="D8" s="86">
        <v>44837</v>
      </c>
      <c r="E8" s="82">
        <v>25000</v>
      </c>
      <c r="F8" s="51" t="s">
        <v>117</v>
      </c>
      <c r="G8" t="b">
        <f>AND(Projects[[#This Row],[Project Type]]="Drama",Projects[[#This Row],[Approved?]]="No")</f>
        <v>0</v>
      </c>
      <c r="H8" s="57" t="s">
        <v>57</v>
      </c>
      <c r="I8" s="58">
        <v>15</v>
      </c>
      <c r="J8" s="52">
        <f>DCOUNT(Projects[#All],"Budget",I6:I7)</f>
        <v>22</v>
      </c>
      <c r="K8" s="52"/>
    </row>
    <row r="9" spans="1:11" ht="18" x14ac:dyDescent="0.35">
      <c r="A9" s="48" t="s">
        <v>67</v>
      </c>
      <c r="B9" s="49" t="s">
        <v>97</v>
      </c>
      <c r="C9" s="50" t="s">
        <v>37</v>
      </c>
      <c r="D9" s="86">
        <v>44843</v>
      </c>
      <c r="E9" s="82">
        <v>20000</v>
      </c>
      <c r="F9" s="51" t="s">
        <v>114</v>
      </c>
      <c r="G9" t="b">
        <f>AND(Projects[[#This Row],[Project Type]]="Drama",Projects[[#This Row],[Approved?]]="No")</f>
        <v>0</v>
      </c>
      <c r="J9" s="52"/>
      <c r="K9" s="52"/>
    </row>
    <row r="10" spans="1:11" ht="18" x14ac:dyDescent="0.35">
      <c r="A10" s="48" t="s">
        <v>71</v>
      </c>
      <c r="B10" s="49" t="s">
        <v>101</v>
      </c>
      <c r="C10" s="50" t="s">
        <v>38</v>
      </c>
      <c r="D10" s="86">
        <v>44866</v>
      </c>
      <c r="E10" s="82">
        <v>19700</v>
      </c>
      <c r="F10" s="51" t="s">
        <v>117</v>
      </c>
      <c r="G10" t="b">
        <f>AND(Projects[[#This Row],[Project Type]]="Drama",Projects[[#This Row],[Approved?]]="No")</f>
        <v>1</v>
      </c>
      <c r="J10" s="52"/>
      <c r="K10" s="52"/>
    </row>
    <row r="11" spans="1:11" ht="18" x14ac:dyDescent="0.35">
      <c r="A11" s="48" t="s">
        <v>72</v>
      </c>
      <c r="B11" s="49" t="s">
        <v>89</v>
      </c>
      <c r="C11" s="50" t="s">
        <v>38</v>
      </c>
      <c r="D11" s="86">
        <v>44883</v>
      </c>
      <c r="E11" s="82">
        <v>12200</v>
      </c>
      <c r="F11" s="51" t="s">
        <v>117</v>
      </c>
      <c r="G11" t="b">
        <f>AND(Projects[[#This Row],[Project Type]]="Drama",Projects[[#This Row],[Approved?]]="No")</f>
        <v>1</v>
      </c>
      <c r="H11" s="57" t="s">
        <v>54</v>
      </c>
      <c r="I11" s="52"/>
    </row>
    <row r="12" spans="1:11" ht="18" x14ac:dyDescent="0.35">
      <c r="A12" s="48" t="s">
        <v>73</v>
      </c>
      <c r="B12" s="49" t="s">
        <v>105</v>
      </c>
      <c r="C12" s="50" t="s">
        <v>38</v>
      </c>
      <c r="D12" s="86">
        <v>44936</v>
      </c>
      <c r="E12" s="82">
        <v>31500</v>
      </c>
      <c r="F12" s="77" t="s">
        <v>114</v>
      </c>
      <c r="G12" s="56" t="b">
        <f>AND(Projects[[#This Row],[Project Type]]="Drama",Projects[[#This Row],[Approved?]]="No")</f>
        <v>0</v>
      </c>
      <c r="H12" s="57" t="s">
        <v>37</v>
      </c>
      <c r="I12" s="52"/>
    </row>
    <row r="13" spans="1:11" ht="18" x14ac:dyDescent="0.35">
      <c r="A13" s="48" t="s">
        <v>68</v>
      </c>
      <c r="B13" s="49" t="s">
        <v>86</v>
      </c>
      <c r="C13" s="50" t="s">
        <v>37</v>
      </c>
      <c r="D13" s="86">
        <v>44939</v>
      </c>
      <c r="E13" s="82">
        <v>24000</v>
      </c>
      <c r="F13" s="77" t="s">
        <v>117</v>
      </c>
      <c r="G13" t="b">
        <f>AND(Projects[[#This Row],[Project Type]]="Drama",Projects[[#This Row],[Approved?]]="No")</f>
        <v>0</v>
      </c>
      <c r="H13" s="57" t="s">
        <v>103</v>
      </c>
      <c r="I13">
        <f>DAVERAGE(Projects[#All],"Budget",I11:I12)</f>
        <v>21884.772727272728</v>
      </c>
    </row>
    <row r="14" spans="1:11" ht="18" x14ac:dyDescent="0.35">
      <c r="A14" s="48" t="s">
        <v>74</v>
      </c>
      <c r="B14" s="49" t="s">
        <v>99</v>
      </c>
      <c r="C14" s="50" t="s">
        <v>38</v>
      </c>
      <c r="D14" s="86">
        <v>44979</v>
      </c>
      <c r="E14" s="82">
        <v>12500</v>
      </c>
      <c r="F14" s="77" t="s">
        <v>117</v>
      </c>
      <c r="G14" t="b">
        <f>AND(Projects[[#This Row],[Project Type]]="Drama",Projects[[#This Row],[Approved?]]="No")</f>
        <v>1</v>
      </c>
    </row>
    <row r="15" spans="1:11" ht="18" x14ac:dyDescent="0.35">
      <c r="A15" s="48" t="s">
        <v>75</v>
      </c>
      <c r="B15" s="49" t="s">
        <v>58</v>
      </c>
      <c r="C15" s="50" t="s">
        <v>38</v>
      </c>
      <c r="D15" s="86">
        <v>44985</v>
      </c>
      <c r="E15" s="82">
        <v>15000</v>
      </c>
      <c r="F15" s="77" t="s">
        <v>114</v>
      </c>
      <c r="G15" t="b">
        <f>AND(Projects[[#This Row],[Project Type]]="Drama",Projects[[#This Row],[Approved?]]="No")</f>
        <v>0</v>
      </c>
      <c r="H15" s="83" t="s">
        <v>54</v>
      </c>
      <c r="I15" s="84" t="s">
        <v>118</v>
      </c>
      <c r="J15" s="84" t="s">
        <v>119</v>
      </c>
      <c r="K15" s="84" t="s">
        <v>103</v>
      </c>
    </row>
    <row r="16" spans="1:11" ht="18" x14ac:dyDescent="0.35">
      <c r="A16" s="48" t="s">
        <v>78</v>
      </c>
      <c r="B16" s="49" t="s">
        <v>90</v>
      </c>
      <c r="C16" s="50" t="s">
        <v>83</v>
      </c>
      <c r="D16" s="86">
        <v>44988</v>
      </c>
      <c r="E16" s="82">
        <v>24500</v>
      </c>
      <c r="F16" s="77" t="s">
        <v>117</v>
      </c>
      <c r="G16" t="b">
        <f>AND(Projects[[#This Row],[Project Type]]="Drama",Projects[[#This Row],[Approved?]]="No")</f>
        <v>0</v>
      </c>
      <c r="H16" s="57" t="s">
        <v>82</v>
      </c>
      <c r="I16" s="95">
        <f ca="1">COUNTIF(Projects[Project Type],I16)</f>
        <v>0</v>
      </c>
      <c r="J16" s="85">
        <f ca="1">I16=COUNTIF(Projects[Project Type],I16)</f>
        <v>0</v>
      </c>
      <c r="K16" s="85">
        <f ca="1">SUMIF(Projects[Project Type],I16)</f>
        <v>0</v>
      </c>
    </row>
    <row r="17" spans="1:11" ht="18" x14ac:dyDescent="0.35">
      <c r="A17" s="48" t="s">
        <v>63</v>
      </c>
      <c r="B17" s="49" t="s">
        <v>93</v>
      </c>
      <c r="C17" s="50" t="s">
        <v>82</v>
      </c>
      <c r="D17" s="86">
        <v>44998</v>
      </c>
      <c r="E17" s="82">
        <v>10000</v>
      </c>
      <c r="F17" s="77" t="s">
        <v>117</v>
      </c>
      <c r="G17" t="b">
        <f>AND(Projects[[#This Row],[Project Type]]="Drama",Projects[[#This Row],[Approved?]]="No")</f>
        <v>0</v>
      </c>
      <c r="H17" s="57" t="s">
        <v>37</v>
      </c>
      <c r="I17" s="95">
        <f ca="1">COUNTIF(Projects[Project Type],I17)</f>
        <v>0</v>
      </c>
      <c r="J17" s="85">
        <f ca="1">COUNTIF(Projects[Project Type],I17)</f>
        <v>0</v>
      </c>
      <c r="K17" s="85">
        <f ca="1">SUMIF(Projects[Project Type],I17)</f>
        <v>0</v>
      </c>
    </row>
    <row r="18" spans="1:11" ht="18" x14ac:dyDescent="0.35">
      <c r="A18" s="48" t="s">
        <v>64</v>
      </c>
      <c r="B18" s="49" t="s">
        <v>95</v>
      </c>
      <c r="C18" s="50" t="s">
        <v>82</v>
      </c>
      <c r="D18" s="86">
        <v>45004</v>
      </c>
      <c r="E18" s="82">
        <v>15000</v>
      </c>
      <c r="F18" s="77" t="s">
        <v>117</v>
      </c>
      <c r="G18" t="b">
        <f>AND(Projects[[#This Row],[Project Type]]="Drama",Projects[[#This Row],[Approved?]]="No")</f>
        <v>0</v>
      </c>
      <c r="H18" s="57" t="s">
        <v>38</v>
      </c>
      <c r="I18" s="95">
        <f ca="1">COUNTIF(Projects[Project Type],I18)</f>
        <v>0</v>
      </c>
      <c r="J18" s="85">
        <f ca="1">COUNTIF(Projects[Project Type],I18)</f>
        <v>0</v>
      </c>
      <c r="K18" s="85">
        <f ca="1">SUMIF(Projects[Project Type],I18)</f>
        <v>0</v>
      </c>
    </row>
    <row r="19" spans="1:11" ht="18" x14ac:dyDescent="0.35">
      <c r="A19" s="48" t="s">
        <v>79</v>
      </c>
      <c r="B19" s="49" t="s">
        <v>100</v>
      </c>
      <c r="C19" s="50" t="s">
        <v>83</v>
      </c>
      <c r="D19" s="86">
        <v>45005</v>
      </c>
      <c r="E19" s="82">
        <v>14000</v>
      </c>
      <c r="F19" s="77" t="s">
        <v>114</v>
      </c>
      <c r="G19" t="b">
        <f>AND(Projects[[#This Row],[Project Type]]="Drama",Projects[[#This Row],[Approved?]]="No")</f>
        <v>0</v>
      </c>
      <c r="H19" s="57" t="s">
        <v>83</v>
      </c>
      <c r="I19" s="95">
        <f ca="1">COUNTIF(Projects[Project Type],I19)</f>
        <v>0</v>
      </c>
      <c r="J19" s="85">
        <f ca="1">COUNTIF(Projects[Project Type],I19)</f>
        <v>0</v>
      </c>
      <c r="K19" s="85">
        <f ca="1">SUMIF(Projects[Project Type],I19)</f>
        <v>0</v>
      </c>
    </row>
    <row r="20" spans="1:11" ht="18" x14ac:dyDescent="0.35">
      <c r="A20" s="48" t="s">
        <v>80</v>
      </c>
      <c r="B20" s="49" t="s">
        <v>98</v>
      </c>
      <c r="C20" s="50" t="s">
        <v>83</v>
      </c>
      <c r="D20" s="86">
        <v>45008</v>
      </c>
      <c r="E20" s="82">
        <v>22500</v>
      </c>
      <c r="F20" s="77" t="s">
        <v>117</v>
      </c>
      <c r="G20" t="b">
        <f>AND(Projects[[#This Row],[Project Type]]="Drama",Projects[[#This Row],[Approved?]]="No")</f>
        <v>0</v>
      </c>
    </row>
    <row r="21" spans="1:11" ht="18" x14ac:dyDescent="0.35">
      <c r="A21" s="48" t="s">
        <v>69</v>
      </c>
      <c r="B21" s="49" t="s">
        <v>96</v>
      </c>
      <c r="C21" s="50" t="s">
        <v>37</v>
      </c>
      <c r="D21" s="86">
        <v>45025</v>
      </c>
      <c r="E21" s="82">
        <v>19500</v>
      </c>
      <c r="F21" s="77" t="s">
        <v>114</v>
      </c>
      <c r="G21" t="b">
        <f>AND(Projects[[#This Row],[Project Type]]="Drama",Projects[[#This Row],[Approved?]]="No")</f>
        <v>0</v>
      </c>
    </row>
    <row r="22" spans="1:11" ht="18" x14ac:dyDescent="0.35">
      <c r="A22" s="48" t="s">
        <v>70</v>
      </c>
      <c r="B22" s="49" t="s">
        <v>87</v>
      </c>
      <c r="C22" s="50" t="s">
        <v>37</v>
      </c>
      <c r="D22" s="86">
        <v>45028</v>
      </c>
      <c r="E22" s="82">
        <v>16000</v>
      </c>
      <c r="F22" s="77" t="s">
        <v>117</v>
      </c>
      <c r="G22" t="b">
        <f>AND(Projects[[#This Row],[Project Type]]="Drama",Projects[[#This Row],[Approved?]]="No")</f>
        <v>0</v>
      </c>
    </row>
    <row r="23" spans="1:11" ht="18" x14ac:dyDescent="0.35">
      <c r="A23" s="48" t="s">
        <v>81</v>
      </c>
      <c r="B23" s="49" t="s">
        <v>91</v>
      </c>
      <c r="C23" s="50" t="s">
        <v>83</v>
      </c>
      <c r="D23" s="86">
        <v>45034</v>
      </c>
      <c r="E23" s="82">
        <v>50000</v>
      </c>
      <c r="F23" s="77" t="s">
        <v>114</v>
      </c>
      <c r="G23" t="b">
        <f>AND(Projects[[#This Row],[Project Type]]="Drama",Projects[[#This Row],[Approved?]]="No")</f>
        <v>0</v>
      </c>
    </row>
    <row r="24" spans="1:11" ht="27" customHeight="1" thickBot="1" x14ac:dyDescent="0.35">
      <c r="A24" s="136" t="s">
        <v>116</v>
      </c>
      <c r="B24" s="136"/>
      <c r="C24" s="136"/>
      <c r="D24" s="136"/>
      <c r="E24" s="136"/>
      <c r="F24" s="136"/>
    </row>
    <row r="25" spans="1:11" x14ac:dyDescent="0.3">
      <c r="A25" s="78" t="s">
        <v>52</v>
      </c>
      <c r="B25" s="79" t="s">
        <v>53</v>
      </c>
      <c r="C25" s="79" t="s">
        <v>54</v>
      </c>
      <c r="D25" s="80" t="s">
        <v>113</v>
      </c>
      <c r="E25" s="80" t="s">
        <v>59</v>
      </c>
      <c r="F25" s="81" t="s">
        <v>115</v>
      </c>
    </row>
    <row r="26" spans="1:11" x14ac:dyDescent="0.3">
      <c r="F26" s="1" t="s">
        <v>124</v>
      </c>
    </row>
    <row r="28" spans="1:11" x14ac:dyDescent="0.3">
      <c r="A28" s="114" t="s">
        <v>52</v>
      </c>
      <c r="B28" s="114" t="s">
        <v>53</v>
      </c>
      <c r="C28" s="114" t="s">
        <v>54</v>
      </c>
      <c r="D28" s="115" t="s">
        <v>17</v>
      </c>
      <c r="E28" s="115" t="s">
        <v>59</v>
      </c>
      <c r="F28" s="115" t="s">
        <v>115</v>
      </c>
    </row>
    <row r="29" spans="1:11" ht="18" hidden="1" x14ac:dyDescent="0.35">
      <c r="A29" s="108" t="s">
        <v>60</v>
      </c>
      <c r="B29" s="101" t="s">
        <v>84</v>
      </c>
      <c r="C29" s="102" t="s">
        <v>82</v>
      </c>
      <c r="D29" s="96">
        <v>44714</v>
      </c>
      <c r="E29" s="103">
        <v>45500</v>
      </c>
      <c r="F29" s="110" t="s">
        <v>114</v>
      </c>
    </row>
    <row r="30" spans="1:11" ht="18" x14ac:dyDescent="0.35">
      <c r="A30" s="109" t="s">
        <v>77</v>
      </c>
      <c r="B30" s="104" t="s">
        <v>122</v>
      </c>
      <c r="C30" s="105" t="s">
        <v>83</v>
      </c>
      <c r="D30" s="106">
        <v>44770</v>
      </c>
      <c r="E30" s="107">
        <v>28500</v>
      </c>
      <c r="F30" s="111" t="s">
        <v>114</v>
      </c>
    </row>
    <row r="31" spans="1:11" ht="18" hidden="1" x14ac:dyDescent="0.35">
      <c r="A31" s="108" t="s">
        <v>67</v>
      </c>
      <c r="B31" s="101" t="s">
        <v>97</v>
      </c>
      <c r="C31" s="102" t="s">
        <v>37</v>
      </c>
      <c r="D31" s="96">
        <v>44843</v>
      </c>
      <c r="E31" s="103">
        <v>20000</v>
      </c>
      <c r="F31" s="110" t="s">
        <v>114</v>
      </c>
    </row>
    <row r="32" spans="1:11" ht="18" hidden="1" x14ac:dyDescent="0.35">
      <c r="A32" s="109" t="s">
        <v>73</v>
      </c>
      <c r="B32" s="104" t="s">
        <v>105</v>
      </c>
      <c r="C32" s="105" t="s">
        <v>38</v>
      </c>
      <c r="D32" s="106">
        <v>44936</v>
      </c>
      <c r="E32" s="107">
        <v>31500</v>
      </c>
      <c r="F32" s="112" t="s">
        <v>114</v>
      </c>
    </row>
    <row r="33" spans="1:6" ht="18" hidden="1" x14ac:dyDescent="0.35">
      <c r="A33" s="108" t="s">
        <v>75</v>
      </c>
      <c r="B33" s="101" t="s">
        <v>58</v>
      </c>
      <c r="C33" s="102" t="s">
        <v>38</v>
      </c>
      <c r="D33" s="96">
        <v>44985</v>
      </c>
      <c r="E33" s="103">
        <v>15000</v>
      </c>
      <c r="F33" s="113" t="s">
        <v>114</v>
      </c>
    </row>
    <row r="34" spans="1:6" ht="18" x14ac:dyDescent="0.35">
      <c r="A34" s="109" t="s">
        <v>79</v>
      </c>
      <c r="B34" s="104" t="s">
        <v>100</v>
      </c>
      <c r="C34" s="105" t="s">
        <v>83</v>
      </c>
      <c r="D34" s="106">
        <v>45005</v>
      </c>
      <c r="E34" s="107">
        <v>14000</v>
      </c>
      <c r="F34" s="112" t="s">
        <v>114</v>
      </c>
    </row>
    <row r="35" spans="1:6" ht="18" hidden="1" x14ac:dyDescent="0.35">
      <c r="A35" s="108" t="s">
        <v>69</v>
      </c>
      <c r="B35" s="101" t="s">
        <v>96</v>
      </c>
      <c r="C35" s="102" t="s">
        <v>37</v>
      </c>
      <c r="D35" s="96">
        <v>45025</v>
      </c>
      <c r="E35" s="103">
        <v>19500</v>
      </c>
      <c r="F35" s="113" t="s">
        <v>114</v>
      </c>
    </row>
    <row r="36" spans="1:6" ht="18" x14ac:dyDescent="0.35">
      <c r="A36" s="116" t="s">
        <v>81</v>
      </c>
      <c r="B36" s="117" t="s">
        <v>91</v>
      </c>
      <c r="C36" s="118" t="s">
        <v>83</v>
      </c>
      <c r="D36" s="119">
        <v>45034</v>
      </c>
      <c r="E36" s="120">
        <v>50000</v>
      </c>
      <c r="F36" s="121" t="s">
        <v>114</v>
      </c>
    </row>
  </sheetData>
  <mergeCells count="2">
    <mergeCell ref="H1:I1"/>
    <mergeCell ref="A24:F24"/>
  </mergeCells>
  <conditionalFormatting sqref="E2:E23">
    <cfRule type="iconSet" priority="1">
      <iconSet iconSet="3Symbols">
        <cfvo type="percent" val="0"/>
        <cfvo type="num" val="15000"/>
        <cfvo type="num" val="25000"/>
      </iconSet>
    </cfRule>
  </conditionalFormatting>
  <dataValidations count="1">
    <dataValidation allowBlank="1" error="pavI8MeUFtEyxX2I4tky4110bfd2-b078-4de6-8830-440a6f7593d0" sqref="A28:F36 A4:K5 A13:I13 K13 A7:K12 A6:I6 K6 A1:K2 K3 A3:I3 A14:K26" xr:uid="{00000000-0002-0000-0500-000000000000}"/>
  </dataValidations>
  <pageMargins left="0.75" right="0.75" top="1" bottom="1" header="0.5" footer="0.5"/>
  <pageSetup orientation="landscape" horizontalDpi="300" verticalDpi="300" r:id="rId1"/>
  <headerFooter alignWithMargins="0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3"/>
  <sheetViews>
    <sheetView topLeftCell="A10" zoomScaleNormal="100" workbookViewId="0">
      <selection activeCell="G1" sqref="G1"/>
    </sheetView>
  </sheetViews>
  <sheetFormatPr defaultRowHeight="16.5" x14ac:dyDescent="0.3"/>
  <cols>
    <col min="1" max="1" width="11.625" bestFit="1" customWidth="1"/>
    <col min="2" max="2" width="25.75" bestFit="1" customWidth="1"/>
    <col min="3" max="3" width="15.5" bestFit="1" customWidth="1"/>
    <col min="4" max="4" width="13.375" style="1" bestFit="1" customWidth="1"/>
    <col min="5" max="5" width="11.5" style="1" bestFit="1" customWidth="1"/>
    <col min="6" max="6" width="8.375" customWidth="1"/>
    <col min="7" max="7" width="18.625" bestFit="1" customWidth="1"/>
    <col min="8" max="8" width="25.75" customWidth="1"/>
  </cols>
  <sheetData>
    <row r="1" spans="1:10" ht="37.5" customHeight="1" x14ac:dyDescent="0.3">
      <c r="A1" s="44" t="s">
        <v>52</v>
      </c>
      <c r="B1" s="44" t="s">
        <v>53</v>
      </c>
      <c r="C1" s="44" t="s">
        <v>54</v>
      </c>
      <c r="D1" s="45" t="s">
        <v>17</v>
      </c>
      <c r="E1" s="45" t="s">
        <v>59</v>
      </c>
      <c r="F1" s="46"/>
      <c r="I1" s="47"/>
      <c r="J1" s="47"/>
    </row>
    <row r="2" spans="1:10" ht="18" x14ac:dyDescent="0.35">
      <c r="A2" s="87" t="s">
        <v>60</v>
      </c>
      <c r="B2" s="88" t="s">
        <v>84</v>
      </c>
      <c r="C2" s="89" t="s">
        <v>82</v>
      </c>
      <c r="D2" s="90">
        <v>44714</v>
      </c>
      <c r="E2" s="91">
        <v>45500</v>
      </c>
      <c r="I2" s="52"/>
      <c r="J2" s="52"/>
    </row>
    <row r="3" spans="1:10" ht="18" x14ac:dyDescent="0.35">
      <c r="A3" s="92" t="s">
        <v>61</v>
      </c>
      <c r="B3" s="88" t="s">
        <v>85</v>
      </c>
      <c r="C3" s="89" t="s">
        <v>82</v>
      </c>
      <c r="D3" s="90">
        <v>44725</v>
      </c>
      <c r="E3" s="91">
        <v>12000</v>
      </c>
      <c r="I3" s="52"/>
      <c r="J3" s="52"/>
    </row>
    <row r="4" spans="1:10" ht="18" x14ac:dyDescent="0.35">
      <c r="A4" s="87" t="s">
        <v>76</v>
      </c>
      <c r="B4" s="88" t="s">
        <v>88</v>
      </c>
      <c r="C4" s="89" t="s">
        <v>83</v>
      </c>
      <c r="D4" s="90">
        <v>44754</v>
      </c>
      <c r="E4" s="91">
        <v>22500</v>
      </c>
      <c r="I4" s="52"/>
      <c r="J4" s="52"/>
    </row>
    <row r="5" spans="1:10" ht="18" x14ac:dyDescent="0.35">
      <c r="A5" s="87" t="s">
        <v>77</v>
      </c>
      <c r="B5" s="88" t="s">
        <v>121</v>
      </c>
      <c r="C5" s="89" t="s">
        <v>83</v>
      </c>
      <c r="D5" s="90">
        <v>44770</v>
      </c>
      <c r="E5" s="91">
        <v>28500</v>
      </c>
      <c r="I5" s="54"/>
      <c r="J5" s="54"/>
    </row>
    <row r="6" spans="1:10" x14ac:dyDescent="0.3">
      <c r="A6" s="93" t="s">
        <v>62</v>
      </c>
      <c r="B6" s="88" t="s">
        <v>104</v>
      </c>
      <c r="C6" s="89" t="s">
        <v>82</v>
      </c>
      <c r="D6" s="90">
        <v>44805</v>
      </c>
      <c r="E6" s="91">
        <v>23010</v>
      </c>
      <c r="I6" s="52"/>
      <c r="J6" s="52"/>
    </row>
    <row r="7" spans="1:10" ht="18" x14ac:dyDescent="0.35">
      <c r="A7" s="87" t="s">
        <v>65</v>
      </c>
      <c r="B7" s="88" t="s">
        <v>92</v>
      </c>
      <c r="C7" s="89" t="s">
        <v>37</v>
      </c>
      <c r="D7" s="90">
        <v>44824</v>
      </c>
      <c r="E7" s="91">
        <v>18555</v>
      </c>
      <c r="I7" s="52"/>
      <c r="J7" s="52"/>
    </row>
    <row r="8" spans="1:10" ht="18" x14ac:dyDescent="0.35">
      <c r="A8" s="87" t="s">
        <v>66</v>
      </c>
      <c r="B8" s="88" t="s">
        <v>94</v>
      </c>
      <c r="C8" s="89" t="s">
        <v>37</v>
      </c>
      <c r="D8" s="90">
        <v>44837</v>
      </c>
      <c r="E8" s="91">
        <v>25000</v>
      </c>
      <c r="I8" s="52"/>
      <c r="J8" s="52"/>
    </row>
    <row r="9" spans="1:10" ht="18" x14ac:dyDescent="0.35">
      <c r="A9" s="87" t="s">
        <v>67</v>
      </c>
      <c r="B9" s="88" t="s">
        <v>97</v>
      </c>
      <c r="C9" s="89" t="s">
        <v>37</v>
      </c>
      <c r="D9" s="90">
        <v>44843</v>
      </c>
      <c r="E9" s="91">
        <v>20000</v>
      </c>
      <c r="I9" s="52"/>
      <c r="J9" s="52"/>
    </row>
    <row r="10" spans="1:10" ht="18" x14ac:dyDescent="0.35">
      <c r="A10" s="87" t="s">
        <v>71</v>
      </c>
      <c r="B10" s="88" t="s">
        <v>101</v>
      </c>
      <c r="C10" s="89" t="s">
        <v>38</v>
      </c>
      <c r="D10" s="90">
        <v>44866</v>
      </c>
      <c r="E10" s="91">
        <v>19700</v>
      </c>
      <c r="I10" s="52"/>
      <c r="J10" s="52"/>
    </row>
    <row r="11" spans="1:10" ht="18" x14ac:dyDescent="0.35">
      <c r="A11" s="87" t="s">
        <v>72</v>
      </c>
      <c r="B11" s="88" t="s">
        <v>89</v>
      </c>
      <c r="C11" s="89" t="s">
        <v>38</v>
      </c>
      <c r="D11" s="90">
        <v>44883</v>
      </c>
      <c r="E11" s="91">
        <v>12200</v>
      </c>
    </row>
    <row r="12" spans="1:10" ht="18" x14ac:dyDescent="0.35">
      <c r="A12" s="87" t="s">
        <v>73</v>
      </c>
      <c r="B12" s="88" t="s">
        <v>105</v>
      </c>
      <c r="C12" s="89" t="s">
        <v>38</v>
      </c>
      <c r="D12" s="90">
        <v>44936</v>
      </c>
      <c r="E12" s="94">
        <v>31500</v>
      </c>
      <c r="F12" s="56"/>
    </row>
    <row r="13" spans="1:10" ht="18" x14ac:dyDescent="0.35">
      <c r="A13" s="87" t="s">
        <v>68</v>
      </c>
      <c r="B13" s="88" t="s">
        <v>86</v>
      </c>
      <c r="C13" s="89" t="s">
        <v>37</v>
      </c>
      <c r="D13" s="90">
        <v>44939</v>
      </c>
      <c r="E13" s="94">
        <v>24000</v>
      </c>
    </row>
    <row r="14" spans="1:10" ht="18" x14ac:dyDescent="0.35">
      <c r="A14" s="87" t="s">
        <v>74</v>
      </c>
      <c r="B14" s="88" t="s">
        <v>99</v>
      </c>
      <c r="C14" s="89" t="s">
        <v>38</v>
      </c>
      <c r="D14" s="90">
        <v>44979</v>
      </c>
      <c r="E14" s="94">
        <v>12500</v>
      </c>
    </row>
    <row r="15" spans="1:10" ht="18" x14ac:dyDescent="0.35">
      <c r="A15" s="87" t="s">
        <v>75</v>
      </c>
      <c r="B15" s="88" t="s">
        <v>58</v>
      </c>
      <c r="C15" s="89" t="s">
        <v>38</v>
      </c>
      <c r="D15" s="90">
        <v>44985</v>
      </c>
      <c r="E15" s="94">
        <v>15000</v>
      </c>
    </row>
    <row r="16" spans="1:10" ht="18" x14ac:dyDescent="0.35">
      <c r="A16" s="87" t="s">
        <v>78</v>
      </c>
      <c r="B16" s="88" t="s">
        <v>90</v>
      </c>
      <c r="C16" s="89" t="s">
        <v>83</v>
      </c>
      <c r="D16" s="90">
        <v>44988</v>
      </c>
      <c r="E16" s="94">
        <v>24500</v>
      </c>
    </row>
    <row r="17" spans="1:5" ht="18" x14ac:dyDescent="0.35">
      <c r="A17" s="87" t="s">
        <v>63</v>
      </c>
      <c r="B17" s="88" t="s">
        <v>93</v>
      </c>
      <c r="C17" s="89" t="s">
        <v>82</v>
      </c>
      <c r="D17" s="90">
        <v>44998</v>
      </c>
      <c r="E17" s="94">
        <v>10000</v>
      </c>
    </row>
    <row r="18" spans="1:5" ht="18" x14ac:dyDescent="0.35">
      <c r="A18" s="87" t="s">
        <v>64</v>
      </c>
      <c r="B18" s="88" t="s">
        <v>95</v>
      </c>
      <c r="C18" s="89" t="s">
        <v>82</v>
      </c>
      <c r="D18" s="90">
        <v>45004</v>
      </c>
      <c r="E18" s="94">
        <v>15000</v>
      </c>
    </row>
    <row r="19" spans="1:5" ht="18" x14ac:dyDescent="0.35">
      <c r="A19" s="87" t="s">
        <v>79</v>
      </c>
      <c r="B19" s="88" t="s">
        <v>100</v>
      </c>
      <c r="C19" s="89" t="s">
        <v>83</v>
      </c>
      <c r="D19" s="90">
        <v>45005</v>
      </c>
      <c r="E19" s="94">
        <v>14000</v>
      </c>
    </row>
    <row r="20" spans="1:5" ht="18" x14ac:dyDescent="0.35">
      <c r="A20" s="87" t="s">
        <v>80</v>
      </c>
      <c r="B20" s="88" t="s">
        <v>98</v>
      </c>
      <c r="C20" s="89" t="s">
        <v>83</v>
      </c>
      <c r="D20" s="90">
        <v>45008</v>
      </c>
      <c r="E20" s="94">
        <v>22500</v>
      </c>
    </row>
    <row r="21" spans="1:5" ht="18" x14ac:dyDescent="0.35">
      <c r="A21" s="87" t="s">
        <v>69</v>
      </c>
      <c r="B21" s="88" t="s">
        <v>96</v>
      </c>
      <c r="C21" s="89" t="s">
        <v>37</v>
      </c>
      <c r="D21" s="90">
        <v>45025</v>
      </c>
      <c r="E21" s="94">
        <v>19500</v>
      </c>
    </row>
    <row r="22" spans="1:5" ht="18" x14ac:dyDescent="0.35">
      <c r="A22" s="87" t="s">
        <v>70</v>
      </c>
      <c r="B22" s="88" t="s">
        <v>87</v>
      </c>
      <c r="C22" s="89" t="s">
        <v>37</v>
      </c>
      <c r="D22" s="90">
        <v>45028</v>
      </c>
      <c r="E22" s="94">
        <v>16000</v>
      </c>
    </row>
    <row r="23" spans="1:5" ht="18" x14ac:dyDescent="0.35">
      <c r="A23" s="87" t="s">
        <v>81</v>
      </c>
      <c r="B23" s="88" t="s">
        <v>91</v>
      </c>
      <c r="C23" s="89" t="s">
        <v>83</v>
      </c>
      <c r="D23" s="90">
        <v>45034</v>
      </c>
      <c r="E23" s="94">
        <v>50000</v>
      </c>
    </row>
  </sheetData>
  <dataValidations count="1">
    <dataValidation allowBlank="1" error="pavI8MeUFtEyxX2I4tky4110bfd2-b078-4de6-8830-440a6f7593d0" sqref="A1:J23" xr:uid="{00000000-0002-0000-0600-000000000000}"/>
  </dataValidations>
  <pageMargins left="0.75" right="0.75" top="1" bottom="1" header="0.5" footer="0.5"/>
  <pageSetup orientation="landscape" horizontalDpi="300" verticalDpi="300" r:id="rId1"/>
  <headerFooter alignWithMargins="0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1"/>
  <sheetViews>
    <sheetView tabSelected="1" topLeftCell="D10" workbookViewId="0">
      <selection activeCell="I17" sqref="I17"/>
    </sheetView>
  </sheetViews>
  <sheetFormatPr defaultRowHeight="16.5" x14ac:dyDescent="0.3"/>
  <cols>
    <col min="1" max="1" width="20.875" bestFit="1" customWidth="1"/>
    <col min="2" max="3" width="16.625" bestFit="1" customWidth="1"/>
    <col min="4" max="4" width="14.75" customWidth="1"/>
    <col min="5" max="5" width="6.25" customWidth="1"/>
    <col min="6" max="6" width="19.375" bestFit="1" customWidth="1"/>
    <col min="7" max="7" width="12.75" bestFit="1" customWidth="1"/>
    <col min="8" max="8" width="11.75" bestFit="1" customWidth="1"/>
    <col min="9" max="9" width="11.5" bestFit="1" customWidth="1"/>
    <col min="10" max="10" width="9.625" bestFit="1" customWidth="1"/>
    <col min="11" max="11" width="21.125" bestFit="1" customWidth="1"/>
    <col min="12" max="12" width="12.75" bestFit="1" customWidth="1"/>
    <col min="13" max="13" width="11.75" bestFit="1" customWidth="1"/>
    <col min="14" max="14" width="11.5" bestFit="1" customWidth="1"/>
    <col min="15" max="15" width="9.625" bestFit="1" customWidth="1"/>
  </cols>
  <sheetData>
    <row r="1" spans="1:15" ht="23.25" x14ac:dyDescent="0.35">
      <c r="A1" s="142" t="s">
        <v>106</v>
      </c>
      <c r="B1" s="142"/>
      <c r="C1" s="142"/>
      <c r="D1" s="142"/>
    </row>
    <row r="2" spans="1:15" ht="21" thickBot="1" x14ac:dyDescent="0.4">
      <c r="A2" s="143" t="s">
        <v>19</v>
      </c>
      <c r="B2" s="143"/>
      <c r="C2" s="143"/>
      <c r="D2" s="143"/>
      <c r="K2" s="21"/>
      <c r="L2" s="21"/>
      <c r="M2" s="21"/>
      <c r="N2" s="21"/>
    </row>
    <row r="3" spans="1:15" ht="17.25" thickTop="1" x14ac:dyDescent="0.3">
      <c r="A3" s="144" t="s">
        <v>12</v>
      </c>
      <c r="B3" s="144"/>
      <c r="C3" s="144"/>
      <c r="D3" s="144"/>
      <c r="K3" s="23" t="s">
        <v>18</v>
      </c>
      <c r="L3" s="59" t="s">
        <v>109</v>
      </c>
      <c r="M3" s="15" t="s">
        <v>110</v>
      </c>
      <c r="N3" s="15" t="s">
        <v>120</v>
      </c>
    </row>
    <row r="4" spans="1:15" x14ac:dyDescent="0.3">
      <c r="A4" s="20" t="s">
        <v>4</v>
      </c>
      <c r="B4" s="60">
        <v>44481</v>
      </c>
      <c r="C4" s="20" t="s">
        <v>8</v>
      </c>
      <c r="D4" s="19">
        <v>4.3499999999999997E-2</v>
      </c>
      <c r="K4" s="20" t="s">
        <v>7</v>
      </c>
      <c r="L4" s="14">
        <f>Loan_Amount</f>
        <v>1720000</v>
      </c>
      <c r="M4" s="14">
        <f>PV(M6,M8,M10)</f>
        <v>2105561.1196936551</v>
      </c>
      <c r="N4" s="14">
        <f>Loan_Amount</f>
        <v>1720000</v>
      </c>
    </row>
    <row r="5" spans="1:15" x14ac:dyDescent="0.3">
      <c r="A5" s="20" t="s">
        <v>107</v>
      </c>
      <c r="B5" s="61" t="s">
        <v>108</v>
      </c>
      <c r="C5" s="20" t="s">
        <v>22</v>
      </c>
      <c r="D5">
        <v>180</v>
      </c>
      <c r="K5" s="20" t="s">
        <v>13</v>
      </c>
      <c r="L5" s="19">
        <v>4.4499999999999998E-2</v>
      </c>
      <c r="M5" s="19">
        <v>4.3999999999999997E-2</v>
      </c>
      <c r="N5" s="19">
        <v>4.5499999999999999E-2</v>
      </c>
    </row>
    <row r="6" spans="1:15" x14ac:dyDescent="0.3">
      <c r="A6" s="20" t="s">
        <v>5</v>
      </c>
      <c r="B6" s="62">
        <v>2150000</v>
      </c>
      <c r="C6" s="20" t="s">
        <v>9</v>
      </c>
      <c r="D6" s="145">
        <f>PMT(Rate/12,Term_in_Months,Loan_Amount)*-1</f>
        <v>13026.410889894827</v>
      </c>
      <c r="K6" s="20" t="s">
        <v>14</v>
      </c>
      <c r="L6" s="18">
        <f>L5/12</f>
        <v>3.708333333333333E-3</v>
      </c>
      <c r="M6" s="18">
        <f t="shared" ref="M6:N6" si="0">M5/12</f>
        <v>3.6666666666666666E-3</v>
      </c>
      <c r="N6" s="18">
        <f t="shared" si="0"/>
        <v>3.7916666666666667E-3</v>
      </c>
    </row>
    <row r="7" spans="1:15" x14ac:dyDescent="0.3">
      <c r="A7" s="20" t="s">
        <v>6</v>
      </c>
      <c r="B7" s="62">
        <v>430000</v>
      </c>
      <c r="C7" s="20" t="s">
        <v>10</v>
      </c>
      <c r="D7" s="26">
        <f>(Monthly_Payment*Term_in_Months)-Loan_Amount</f>
        <v>624753.96018106909</v>
      </c>
      <c r="K7" s="20" t="s">
        <v>15</v>
      </c>
      <c r="L7">
        <v>10</v>
      </c>
      <c r="M7">
        <v>15</v>
      </c>
      <c r="N7">
        <v>5</v>
      </c>
    </row>
    <row r="8" spans="1:15" x14ac:dyDescent="0.3">
      <c r="A8" s="24" t="s">
        <v>7</v>
      </c>
      <c r="B8" s="63">
        <f>Price-Down_Payment</f>
        <v>1720000</v>
      </c>
      <c r="C8" s="24" t="s">
        <v>11</v>
      </c>
      <c r="D8" s="31">
        <f>B6+D7</f>
        <v>2774753.9601810691</v>
      </c>
      <c r="K8" s="20" t="s">
        <v>16</v>
      </c>
      <c r="L8">
        <f>L7*12</f>
        <v>120</v>
      </c>
      <c r="M8">
        <f>M7*12</f>
        <v>180</v>
      </c>
      <c r="N8">
        <f>N7*12</f>
        <v>60</v>
      </c>
    </row>
    <row r="9" spans="1:15" ht="17.25" thickBot="1" x14ac:dyDescent="0.35">
      <c r="E9" s="17"/>
      <c r="F9" s="17"/>
      <c r="G9" s="17"/>
      <c r="H9" s="17"/>
      <c r="I9" s="17"/>
      <c r="J9" s="17"/>
      <c r="K9" s="20" t="s">
        <v>17</v>
      </c>
      <c r="L9" s="22">
        <v>44564</v>
      </c>
      <c r="M9" s="22">
        <v>44564</v>
      </c>
      <c r="N9" s="22">
        <v>44564</v>
      </c>
    </row>
    <row r="10" spans="1:15" ht="17.25" thickTop="1" x14ac:dyDescent="0.3">
      <c r="A10" s="137" t="s">
        <v>20</v>
      </c>
      <c r="B10" s="138"/>
      <c r="C10" s="138"/>
      <c r="D10" s="139"/>
      <c r="K10" s="27" t="s">
        <v>9</v>
      </c>
      <c r="L10" s="28">
        <f>PMT(L6,L8,L4)</f>
        <v>-17784.379675529894</v>
      </c>
      <c r="M10" s="28">
        <v>-16000</v>
      </c>
      <c r="N10" s="28">
        <v>-20000</v>
      </c>
    </row>
    <row r="11" spans="1:15" x14ac:dyDescent="0.3">
      <c r="A11" s="64" t="s">
        <v>8</v>
      </c>
      <c r="B11" s="140" t="s">
        <v>21</v>
      </c>
      <c r="C11" s="140"/>
      <c r="D11" s="141"/>
      <c r="K11" s="29" t="s">
        <v>23</v>
      </c>
      <c r="L11" s="30" t="s">
        <v>24</v>
      </c>
      <c r="M11" s="30" t="s">
        <v>24</v>
      </c>
      <c r="N11" s="146">
        <f>FV(N6,N8,,10)</f>
        <v>-12.549174393753454</v>
      </c>
    </row>
    <row r="12" spans="1:15" x14ac:dyDescent="0.3">
      <c r="A12" s="67">
        <f>Monthly_Payment</f>
        <v>13026.410889894827</v>
      </c>
      <c r="B12" s="68">
        <v>120</v>
      </c>
      <c r="C12" s="69">
        <v>180</v>
      </c>
      <c r="D12" s="70">
        <v>240</v>
      </c>
    </row>
    <row r="13" spans="1:15" x14ac:dyDescent="0.3">
      <c r="A13" s="65">
        <v>3.85E-2</v>
      </c>
      <c r="B13" s="25">
        <f t="dataTable" ref="B13:D25" dt2D="1" dtr="1" r1="D5" r2="D4"/>
        <v>17291.810145965286</v>
      </c>
      <c r="C13" s="25">
        <v>12593.72988155132</v>
      </c>
      <c r="D13" s="32">
        <v>10287.41600074465</v>
      </c>
      <c r="K13" s="148" t="s">
        <v>111</v>
      </c>
      <c r="L13" s="148"/>
      <c r="M13" s="148"/>
      <c r="N13" s="148"/>
      <c r="O13" s="148"/>
    </row>
    <row r="14" spans="1:15" x14ac:dyDescent="0.3">
      <c r="A14" s="65">
        <v>3.95E-2</v>
      </c>
      <c r="B14" s="25">
        <v>17373.320707298561</v>
      </c>
      <c r="C14" s="25">
        <v>12679.578729087332</v>
      </c>
      <c r="D14" s="32">
        <v>10377.601322144035</v>
      </c>
      <c r="K14" s="149" t="s">
        <v>3</v>
      </c>
      <c r="L14" s="149" t="s">
        <v>127</v>
      </c>
      <c r="M14" s="149" t="s">
        <v>128</v>
      </c>
      <c r="N14" s="149" t="s">
        <v>129</v>
      </c>
      <c r="O14" s="149" t="s">
        <v>130</v>
      </c>
    </row>
    <row r="15" spans="1:15" x14ac:dyDescent="0.3">
      <c r="A15" s="65">
        <v>4.0500000000000001E-2</v>
      </c>
      <c r="B15" s="25">
        <v>17455.065303493659</v>
      </c>
      <c r="C15" s="25">
        <v>12765.771915346395</v>
      </c>
      <c r="D15" s="32">
        <v>10468.233551787715</v>
      </c>
      <c r="F15" t="str">
        <f>PROPER(F27)</f>
        <v>Type</v>
      </c>
      <c r="G15" t="str">
        <f>CONCATENATE(H27," ",I27)</f>
        <v>Contact First Contact Last</v>
      </c>
      <c r="H15" t="str">
        <f>RIGHT(G27)</f>
        <v>n</v>
      </c>
      <c r="I15" t="str">
        <f>LEFT(J27)</f>
        <v>O</v>
      </c>
      <c r="K15" t="s">
        <v>131</v>
      </c>
      <c r="L15" t="s">
        <v>132</v>
      </c>
      <c r="M15" t="s">
        <v>133</v>
      </c>
      <c r="N15" t="s">
        <v>134</v>
      </c>
      <c r="O15" t="s">
        <v>135</v>
      </c>
    </row>
    <row r="16" spans="1:15" x14ac:dyDescent="0.3">
      <c r="A16" s="65">
        <v>4.1500000000000002E-2</v>
      </c>
      <c r="B16" s="25">
        <v>17537.043719764457</v>
      </c>
      <c r="C16" s="25">
        <v>12852.308785518702</v>
      </c>
      <c r="D16" s="32">
        <v>10559.311230451849</v>
      </c>
      <c r="F16" t="str">
        <f t="shared" ref="F16:F19" si="1">PROPER(F28)</f>
        <v>Warehouse</v>
      </c>
      <c r="G16" t="str">
        <f t="shared" ref="G16:G19" si="2">CONCATENATE(H28," ",I28)</f>
        <v>Terry McGregor</v>
      </c>
      <c r="H16" t="str">
        <f t="shared" ref="H16:H19" si="3">RIGHT(G28)</f>
        <v>N</v>
      </c>
      <c r="I16" t="str">
        <f t="shared" ref="I16:I19" si="4">LEFT(J28)</f>
        <v>8</v>
      </c>
      <c r="K16" t="s">
        <v>136</v>
      </c>
      <c r="L16" t="s">
        <v>137</v>
      </c>
      <c r="M16" t="s">
        <v>138</v>
      </c>
      <c r="N16" t="s">
        <v>139</v>
      </c>
      <c r="O16" t="s">
        <v>140</v>
      </c>
    </row>
    <row r="17" spans="1:15" x14ac:dyDescent="0.3">
      <c r="A17" s="65">
        <v>4.2500000000000003E-2</v>
      </c>
      <c r="B17" s="25">
        <v>17619.255736942439</v>
      </c>
      <c r="C17" s="25">
        <v>12939.188671079804</v>
      </c>
      <c r="D17" s="32">
        <v>10650.832869803426</v>
      </c>
      <c r="F17" t="str">
        <f t="shared" si="1"/>
        <v>Distribution Center</v>
      </c>
      <c r="G17" t="str">
        <f t="shared" si="2"/>
        <v>Anita Arnaz</v>
      </c>
      <c r="H17" t="str">
        <f t="shared" si="3"/>
        <v>Z</v>
      </c>
      <c r="I17" t="str">
        <f t="shared" si="4"/>
        <v>1</v>
      </c>
      <c r="K17" t="s">
        <v>131</v>
      </c>
      <c r="L17" t="s">
        <v>141</v>
      </c>
      <c r="M17" t="s">
        <v>142</v>
      </c>
      <c r="N17" t="s">
        <v>143</v>
      </c>
      <c r="O17" t="s">
        <v>144</v>
      </c>
    </row>
    <row r="18" spans="1:15" x14ac:dyDescent="0.3">
      <c r="A18" s="65">
        <v>4.3499999999999997E-2</v>
      </c>
      <c r="B18" s="25">
        <v>17701.701131492631</v>
      </c>
      <c r="C18" s="25">
        <v>13026.410889894827</v>
      </c>
      <c r="D18" s="32">
        <v>10742.796952794679</v>
      </c>
      <c r="F18" t="str">
        <f t="shared" si="1"/>
        <v>Warehouse</v>
      </c>
      <c r="G18" t="str">
        <f t="shared" si="2"/>
        <v>Hector Murillo</v>
      </c>
      <c r="H18" t="str">
        <f t="shared" si="3"/>
        <v>X</v>
      </c>
      <c r="I18" t="str">
        <f t="shared" si="4"/>
        <v>2</v>
      </c>
      <c r="K18" t="s">
        <v>145</v>
      </c>
      <c r="L18" t="s">
        <v>146</v>
      </c>
      <c r="M18" t="s">
        <v>147</v>
      </c>
      <c r="N18" t="s">
        <v>148</v>
      </c>
      <c r="O18" t="s">
        <v>149</v>
      </c>
    </row>
    <row r="19" spans="1:15" x14ac:dyDescent="0.3">
      <c r="A19" s="65">
        <v>4.4499999999999998E-2</v>
      </c>
      <c r="B19" s="25">
        <v>17784.379675529894</v>
      </c>
      <c r="C19" s="25">
        <v>13113.974746324473</v>
      </c>
      <c r="D19" s="32">
        <v>10835.20193406328</v>
      </c>
      <c r="F19" t="str">
        <f t="shared" si="1"/>
        <v>Manufacturing Center</v>
      </c>
      <c r="G19" t="str">
        <f t="shared" si="2"/>
        <v>Padma Shalikar</v>
      </c>
      <c r="H19" t="str">
        <f t="shared" si="3"/>
        <v>C</v>
      </c>
      <c r="I19" t="str">
        <f t="shared" si="4"/>
        <v>1</v>
      </c>
      <c r="K19" t="s">
        <v>136</v>
      </c>
      <c r="L19" t="s">
        <v>150</v>
      </c>
      <c r="M19" t="s">
        <v>151</v>
      </c>
      <c r="N19" t="s">
        <v>152</v>
      </c>
      <c r="O19" t="s">
        <v>153</v>
      </c>
    </row>
    <row r="20" spans="1:15" x14ac:dyDescent="0.3">
      <c r="A20" s="65">
        <v>4.5499999999999999E-2</v>
      </c>
      <c r="B20" s="25">
        <v>17867.291136835433</v>
      </c>
      <c r="C20" s="25">
        <v>13201.879531332799</v>
      </c>
      <c r="D20" s="32">
        <v>10928.046240338157</v>
      </c>
    </row>
    <row r="21" spans="1:15" x14ac:dyDescent="0.3">
      <c r="A21" s="65">
        <v>4.65E-2</v>
      </c>
      <c r="B21" s="25">
        <v>17950.435278873592</v>
      </c>
      <c r="C21" s="25">
        <v>13290.124522596741</v>
      </c>
      <c r="D21" s="32">
        <v>11021.328270850669</v>
      </c>
    </row>
    <row r="22" spans="1:15" x14ac:dyDescent="0.3">
      <c r="A22" s="65">
        <v>4.7500000000000001E-2</v>
      </c>
      <c r="B22" s="25">
        <v>18033.811860808979</v>
      </c>
      <c r="C22" s="25">
        <v>13378.708984617346</v>
      </c>
      <c r="D22" s="32">
        <v>11115.046397751037</v>
      </c>
    </row>
    <row r="23" spans="1:15" x14ac:dyDescent="0.3">
      <c r="A23" s="65">
        <v>4.8500000000000001E-2</v>
      </c>
      <c r="B23" s="25">
        <v>18117.420637523737</v>
      </c>
      <c r="C23" s="25">
        <v>13467.632168832646</v>
      </c>
      <c r="D23" s="32">
        <v>11209.198966529702</v>
      </c>
    </row>
    <row r="24" spans="1:15" x14ac:dyDescent="0.3">
      <c r="A24" s="65">
        <v>4.9500000000000002E-2</v>
      </c>
      <c r="B24" s="25">
        <v>18201.261359635242</v>
      </c>
      <c r="C24" s="25">
        <v>13556.893313732222</v>
      </c>
      <c r="D24" s="32">
        <v>11303.784296443504</v>
      </c>
    </row>
    <row r="25" spans="1:15" x14ac:dyDescent="0.3">
      <c r="A25" s="66">
        <v>5.0500000000000003E-2</v>
      </c>
      <c r="B25" s="33">
        <v>18285.333773513947</v>
      </c>
      <c r="C25" s="33">
        <v>13646.491644973348</v>
      </c>
      <c r="D25" s="34">
        <v>11398.800680946428</v>
      </c>
    </row>
    <row r="26" spans="1:15" x14ac:dyDescent="0.3">
      <c r="F26" t="s">
        <v>111</v>
      </c>
      <c r="K26" s="147"/>
    </row>
    <row r="27" spans="1:15" x14ac:dyDescent="0.3">
      <c r="F27" t="s">
        <v>3</v>
      </c>
      <c r="G27" t="s">
        <v>127</v>
      </c>
      <c r="H27" t="s">
        <v>128</v>
      </c>
      <c r="I27" t="s">
        <v>129</v>
      </c>
      <c r="J27" t="s">
        <v>130</v>
      </c>
    </row>
    <row r="28" spans="1:15" x14ac:dyDescent="0.3">
      <c r="F28" t="s">
        <v>131</v>
      </c>
      <c r="G28" t="s">
        <v>132</v>
      </c>
      <c r="H28" t="s">
        <v>133</v>
      </c>
      <c r="I28" t="s">
        <v>134</v>
      </c>
      <c r="J28" t="s">
        <v>135</v>
      </c>
    </row>
    <row r="29" spans="1:15" x14ac:dyDescent="0.3">
      <c r="F29" t="s">
        <v>136</v>
      </c>
      <c r="G29" t="s">
        <v>137</v>
      </c>
      <c r="H29" t="s">
        <v>138</v>
      </c>
      <c r="I29" t="s">
        <v>139</v>
      </c>
      <c r="J29" t="s">
        <v>140</v>
      </c>
    </row>
    <row r="30" spans="1:15" x14ac:dyDescent="0.3">
      <c r="F30" t="s">
        <v>131</v>
      </c>
      <c r="G30" t="s">
        <v>141</v>
      </c>
      <c r="H30" t="s">
        <v>142</v>
      </c>
      <c r="I30" t="s">
        <v>143</v>
      </c>
      <c r="J30" t="s">
        <v>144</v>
      </c>
    </row>
    <row r="31" spans="1:15" x14ac:dyDescent="0.3">
      <c r="F31" t="s">
        <v>145</v>
      </c>
      <c r="G31" t="s">
        <v>146</v>
      </c>
      <c r="H31" t="s">
        <v>147</v>
      </c>
      <c r="I31" t="s">
        <v>148</v>
      </c>
      <c r="J31" t="s">
        <v>149</v>
      </c>
    </row>
    <row r="32" spans="1:15" x14ac:dyDescent="0.3">
      <c r="F32" t="s">
        <v>136</v>
      </c>
      <c r="G32" t="s">
        <v>150</v>
      </c>
      <c r="H32" t="s">
        <v>151</v>
      </c>
      <c r="I32" t="s">
        <v>152</v>
      </c>
      <c r="J32" t="s">
        <v>153</v>
      </c>
    </row>
    <row r="41" spans="1:1" x14ac:dyDescent="0.3">
      <c r="A41" t="s">
        <v>126</v>
      </c>
    </row>
  </sheetData>
  <mergeCells count="6">
    <mergeCell ref="A10:D10"/>
    <mergeCell ref="B11:D11"/>
    <mergeCell ref="A1:D1"/>
    <mergeCell ref="A2:D2"/>
    <mergeCell ref="A3:D3"/>
    <mergeCell ref="K13:O13"/>
  </mergeCells>
  <dataValidations count="1">
    <dataValidation allowBlank="1" error="pavI8MeUFtEyxX2I4tky4110bfd2-b078-4de6-8830-440a6f7593d0" sqref="K20:O25 K1:O12 A1:J25" xr:uid="{00000000-0002-0000-0700-000000000000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radingEngineProps xmlns="http://tempuri.org/temp">
  <UserID>{4110bfd2-b078-4de6-8830-440a6f7593d0}</UserID>
  <AssignmentID>{4110bfd2-b078-4de6-8830-440a6f7593d0}</AssignmentID>
</GradingEngineProps>
</file>

<file path=customXml/itemProps1.xml><?xml version="1.0" encoding="utf-8"?>
<ds:datastoreItem xmlns:ds="http://schemas.openxmlformats.org/officeDocument/2006/customXml" ds:itemID="{0BA7BE7B-C648-4AFC-85C9-E997E9C0F162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11</vt:i4>
      </vt:variant>
    </vt:vector>
  </HeadingPairs>
  <TitlesOfParts>
    <vt:vector size="19" baseType="lpstr">
      <vt:lpstr>Documentation</vt:lpstr>
      <vt:lpstr>U.S.</vt:lpstr>
      <vt:lpstr>Canada</vt:lpstr>
      <vt:lpstr>U.K.</vt:lpstr>
      <vt:lpstr>All Locations</vt:lpstr>
      <vt:lpstr>Original Content</vt:lpstr>
      <vt:lpstr>Subtotals</vt:lpstr>
      <vt:lpstr>Expansion Funding</vt:lpstr>
      <vt:lpstr>'Original Content'!Criteria</vt:lpstr>
      <vt:lpstr>Down_Payment</vt:lpstr>
      <vt:lpstr>Loan_Amount</vt:lpstr>
      <vt:lpstr>Loan_Calculator</vt:lpstr>
      <vt:lpstr>Monthly_Payment</vt:lpstr>
      <vt:lpstr>Price</vt:lpstr>
      <vt:lpstr>Rate</vt:lpstr>
      <vt:lpstr>'Expansion Funding'!Support_EX19_CS4_7a_Properties_2</vt:lpstr>
      <vt:lpstr>'Expansion Funding'!Support_EX19_CS4_7a_Properties_3</vt:lpstr>
      <vt:lpstr>Term_in_Months</vt:lpstr>
      <vt:lpstr>Total_Cost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STEPHEN CALVINCE</cp:lastModifiedBy>
  <dcterms:created xsi:type="dcterms:W3CDTF">2015-10-12T11:05:43Z</dcterms:created>
  <dcterms:modified xsi:type="dcterms:W3CDTF">2019-10-20T15:49:13Z</dcterms:modified>
</cp:coreProperties>
</file>