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8930" windowHeight="6435" activeTab="2"/>
  </bookViews>
  <sheets>
    <sheet name="simple_interest" sheetId="1" r:id="rId1"/>
    <sheet name="simple_discount" sheetId="2" r:id="rId2"/>
    <sheet name="exercises" sheetId="3" r:id="rId3"/>
  </sheets>
  <calcPr calcId="162913" concurrentCalc="0"/>
</workbook>
</file>

<file path=xl/calcChain.xml><?xml version="1.0" encoding="utf-8"?>
<calcChain xmlns="http://schemas.openxmlformats.org/spreadsheetml/2006/main">
  <c r="E8" i="3" l="1"/>
  <c r="E7" i="3"/>
  <c r="F7" i="3"/>
  <c r="F8" i="3"/>
  <c r="E6" i="3"/>
  <c r="F6" i="3"/>
  <c r="C47" i="3"/>
  <c r="H43" i="3"/>
  <c r="H46" i="3"/>
  <c r="I43" i="3"/>
  <c r="E43" i="3"/>
  <c r="F43" i="3"/>
  <c r="G43" i="3"/>
  <c r="K43" i="3"/>
  <c r="L43" i="3"/>
  <c r="E38" i="3"/>
  <c r="F38" i="3"/>
  <c r="G38" i="3"/>
  <c r="H38" i="3"/>
  <c r="E35" i="3"/>
  <c r="F35" i="3"/>
  <c r="G35" i="3"/>
  <c r="H35" i="3"/>
  <c r="E26" i="3"/>
  <c r="F26" i="3"/>
  <c r="I26" i="3"/>
  <c r="B27" i="3"/>
  <c r="E27" i="3"/>
  <c r="F27" i="3"/>
  <c r="E25" i="3"/>
  <c r="F25" i="3"/>
  <c r="I25" i="3"/>
  <c r="E19" i="3"/>
  <c r="D19" i="3"/>
  <c r="E18" i="3"/>
  <c r="C18" i="3"/>
  <c r="E17" i="3"/>
  <c r="B17" i="3"/>
  <c r="E12" i="3"/>
  <c r="F12" i="3"/>
  <c r="E11" i="3"/>
  <c r="F11" i="3"/>
  <c r="I59" i="2"/>
  <c r="C63" i="2"/>
  <c r="D63" i="2"/>
  <c r="F63" i="2"/>
  <c r="G63" i="2"/>
  <c r="H63" i="2"/>
  <c r="I63" i="2"/>
  <c r="I58" i="2"/>
  <c r="C62" i="2"/>
  <c r="D62" i="2"/>
  <c r="F62" i="2"/>
  <c r="G62" i="2"/>
  <c r="H62" i="2"/>
  <c r="I62" i="2"/>
  <c r="C58" i="2"/>
  <c r="C59" i="2"/>
  <c r="C31" i="2"/>
  <c r="D31" i="2"/>
  <c r="F31" i="2"/>
  <c r="G31" i="2"/>
  <c r="H31" i="2"/>
  <c r="I31" i="2"/>
  <c r="D42" i="2"/>
  <c r="E42" i="2"/>
  <c r="F42" i="2"/>
  <c r="G42" i="2"/>
  <c r="D41" i="2"/>
  <c r="F41" i="2"/>
  <c r="E41" i="2"/>
  <c r="D50" i="2"/>
  <c r="G41" i="2"/>
  <c r="B65" i="1"/>
  <c r="B66" i="1"/>
  <c r="B67" i="1"/>
  <c r="B60" i="1"/>
  <c r="B61" i="1"/>
  <c r="D61" i="1"/>
  <c r="D59" i="1"/>
  <c r="E59" i="1"/>
  <c r="H59" i="1"/>
  <c r="A60" i="1"/>
  <c r="D60" i="1"/>
  <c r="A14" i="2"/>
  <c r="B50" i="2"/>
  <c r="A50" i="2"/>
  <c r="J62" i="2"/>
  <c r="D59" i="2"/>
  <c r="E59" i="2"/>
  <c r="D58" i="2"/>
  <c r="E58" i="2"/>
  <c r="G29" i="1"/>
  <c r="G28" i="1"/>
  <c r="D28" i="1"/>
  <c r="A38" i="1"/>
  <c r="D38" i="1"/>
  <c r="E36" i="1"/>
  <c r="E37" i="1"/>
  <c r="A37" i="1"/>
  <c r="D37" i="1"/>
  <c r="D36" i="1"/>
  <c r="C35" i="1"/>
  <c r="E35" i="1"/>
  <c r="D35" i="1"/>
  <c r="C34" i="1"/>
  <c r="E34" i="1"/>
  <c r="C33" i="1"/>
  <c r="D33" i="1"/>
  <c r="E33" i="1"/>
  <c r="C50" i="1"/>
  <c r="D50" i="1"/>
  <c r="C51" i="1"/>
  <c r="A18" i="1"/>
  <c r="E16" i="1"/>
  <c r="E17" i="1"/>
  <c r="A17" i="1"/>
  <c r="D17" i="1"/>
  <c r="D13" i="1"/>
  <c r="E13" i="1"/>
  <c r="E15" i="1"/>
  <c r="E14" i="1"/>
  <c r="A53" i="1"/>
  <c r="B52" i="1"/>
  <c r="D29" i="1"/>
  <c r="E29" i="1"/>
  <c r="D24" i="2"/>
  <c r="C44" i="1"/>
  <c r="E50" i="2"/>
  <c r="C33" i="2"/>
  <c r="D33" i="2"/>
  <c r="F33" i="2"/>
  <c r="A15" i="2"/>
  <c r="D13" i="2"/>
  <c r="E13" i="2"/>
  <c r="D12" i="2"/>
  <c r="E12" i="2"/>
  <c r="D11" i="2"/>
  <c r="E11" i="2"/>
  <c r="G24" i="1"/>
  <c r="I24" i="1"/>
  <c r="D24" i="1"/>
  <c r="G25" i="1"/>
  <c r="I25" i="1"/>
  <c r="B28" i="1"/>
  <c r="E28" i="1"/>
  <c r="B44" i="1"/>
  <c r="E44" i="1"/>
  <c r="D14" i="1"/>
  <c r="D15" i="1"/>
  <c r="D16" i="1"/>
  <c r="D18" i="1"/>
  <c r="G33" i="2"/>
  <c r="C50" i="2"/>
  <c r="E60" i="1"/>
  <c r="H60" i="1"/>
  <c r="A61" i="1"/>
  <c r="D34" i="1"/>
  <c r="D44" i="1"/>
  <c r="D25" i="1"/>
  <c r="E61" i="1"/>
  <c r="F61" i="1"/>
</calcChain>
</file>

<file path=xl/comments1.xml><?xml version="1.0" encoding="utf-8"?>
<comments xmlns="http://schemas.openxmlformats.org/spreadsheetml/2006/main">
  <authors>
    <author>bmcc</author>
  </authors>
  <commentList>
    <comment ref="C59" authorId="0" shapeId="0">
      <text>
        <r>
          <rPr>
            <b/>
            <sz val="8"/>
            <color indexed="81"/>
            <rFont val="Tahoma"/>
            <family val="2"/>
          </rPr>
          <t>Dr. J:</t>
        </r>
        <r>
          <rPr>
            <sz val="8"/>
            <color indexed="81"/>
            <rFont val="Tahoma"/>
            <family val="2"/>
          </rPr>
          <t xml:space="preserve">
Point in time as well as length in time</t>
        </r>
      </text>
    </comment>
    <comment ref="C60" authorId="0" shapeId="0">
      <text>
        <r>
          <rPr>
            <b/>
            <sz val="8"/>
            <color indexed="81"/>
            <rFont val="Tahoma"/>
            <family val="2"/>
          </rPr>
          <t>Dr. J:</t>
        </r>
        <r>
          <rPr>
            <sz val="8"/>
            <color indexed="81"/>
            <rFont val="Tahoma"/>
            <family val="2"/>
          </rPr>
          <t xml:space="preserve">
Point in time</t>
        </r>
      </text>
    </comment>
  </commentList>
</comments>
</file>

<file path=xl/sharedStrings.xml><?xml version="1.0" encoding="utf-8"?>
<sst xmlns="http://schemas.openxmlformats.org/spreadsheetml/2006/main" count="234" uniqueCount="114">
  <si>
    <t>Simple Interest</t>
  </si>
  <si>
    <t>P</t>
  </si>
  <si>
    <t>r</t>
  </si>
  <si>
    <t>t (yrs)</t>
  </si>
  <si>
    <t>I</t>
  </si>
  <si>
    <t>I=Prt</t>
  </si>
  <si>
    <t>where</t>
  </si>
  <si>
    <t>If r = 6%,</t>
  </si>
  <si>
    <t>t= 60 days,</t>
  </si>
  <si>
    <t>(t=I/Pr)</t>
  </si>
  <si>
    <t>FV</t>
  </si>
  <si>
    <t>(r=I/Pt)</t>
  </si>
  <si>
    <t>(P=I/rt)</t>
  </si>
  <si>
    <t>Future Value &amp; Present Value under Simple Interest</t>
  </si>
  <si>
    <t>FV = P + I</t>
  </si>
  <si>
    <t>PV = FV/(1+rt)</t>
  </si>
  <si>
    <t>FV = P + Prt</t>
  </si>
  <si>
    <t>FV = P(1+rt)</t>
  </si>
  <si>
    <t>FV = P+I</t>
  </si>
  <si>
    <t>P = FV/(1+rt)</t>
  </si>
  <si>
    <t>Simple Discount</t>
  </si>
  <si>
    <t>B = FVdt</t>
  </si>
  <si>
    <t>D = FV-B</t>
  </si>
  <si>
    <t>D = FV-FVdt</t>
  </si>
  <si>
    <t>D = FV(1-dt)</t>
  </si>
  <si>
    <t xml:space="preserve">Principal </t>
  </si>
  <si>
    <t>d</t>
  </si>
  <si>
    <t>t</t>
  </si>
  <si>
    <t>D</t>
  </si>
  <si>
    <t>B</t>
  </si>
  <si>
    <t>Factoring Accounts Receivable</t>
  </si>
  <si>
    <t>Factoring with Recourse:</t>
  </si>
  <si>
    <t>Seller pays the bank if the customer (issuer of promissory notes) does not  pay.</t>
  </si>
  <si>
    <t>Factoring without Recourse:</t>
  </si>
  <si>
    <t>Seller does not pay the bank if the customer (issuer of promissory notes) does not  pay.</t>
  </si>
  <si>
    <t>(Therefore, discount is deeper.)</t>
  </si>
  <si>
    <t xml:space="preserve">Stafford Elec not liable. </t>
  </si>
  <si>
    <t>ABC Finance must collect.</t>
  </si>
  <si>
    <t>int</t>
  </si>
  <si>
    <t>T</t>
  </si>
  <si>
    <t>W/o recourse: The company must pay the bank if the customer defaults.</t>
  </si>
  <si>
    <t>I = Prt</t>
  </si>
  <si>
    <t>Therefore, r = I/rt</t>
  </si>
  <si>
    <t>B or I</t>
  </si>
  <si>
    <t>t (days)</t>
  </si>
  <si>
    <t>(I=Prt)</t>
  </si>
  <si>
    <t>FV = P+ Prt</t>
  </si>
  <si>
    <t xml:space="preserve">r </t>
  </si>
  <si>
    <t>t (in yr)</t>
  </si>
  <si>
    <t>Int</t>
  </si>
  <si>
    <t>(a)FV</t>
  </si>
  <si>
    <t>(b)I or B</t>
  </si>
  <si>
    <t>(c)D</t>
  </si>
  <si>
    <t>(d)r*</t>
  </si>
  <si>
    <t>r* (full yr)</t>
  </si>
  <si>
    <t>Payment</t>
  </si>
  <si>
    <t>P-balance</t>
  </si>
  <si>
    <t>P-paid</t>
  </si>
  <si>
    <t>I = $ Int</t>
  </si>
  <si>
    <t>r = APR</t>
  </si>
  <si>
    <t>t = time (in YR)</t>
  </si>
  <si>
    <t>P = Principal</t>
  </si>
  <si>
    <t xml:space="preserve">What if t &lt; YR or not in whole YRs? </t>
  </si>
  <si>
    <t>Ordinary YR =</t>
  </si>
  <si>
    <t>Exact YR =</t>
  </si>
  <si>
    <t>Other Applications of Simple Interest</t>
  </si>
  <si>
    <t>60-Day, 6% Method:</t>
  </si>
  <si>
    <t>rt = ?</t>
  </si>
  <si>
    <t>rt</t>
  </si>
  <si>
    <t>FV = $ Amount Borrowed (Principal) to be repaid in the future</t>
  </si>
  <si>
    <t>t = time in whole or partial years</t>
  </si>
  <si>
    <t>Discounting Non-interest-bearing Promissory Note</t>
  </si>
  <si>
    <t>Discounting Interest-bearning Notes</t>
  </si>
  <si>
    <t>Effective rate of interest (r*)</t>
  </si>
  <si>
    <t>r*</t>
  </si>
  <si>
    <t>Converting Nominal Rate to Effective Rate (d ---&gt; r*)</t>
  </si>
  <si>
    <t>r* = d/(1-d)</t>
  </si>
  <si>
    <t>Making Partial Payments (US Rule)</t>
  </si>
  <si>
    <t>B = $ Bank Discount (interest up front)</t>
  </si>
  <si>
    <t>d = discount rate</t>
  </si>
  <si>
    <t>Discounting When Time-frame Is in Calendar Dates</t>
  </si>
  <si>
    <t>t (wks)</t>
  </si>
  <si>
    <t>Principal  (MV)</t>
  </si>
  <si>
    <r>
      <t>t</t>
    </r>
    <r>
      <rPr>
        <b/>
        <u/>
        <vertAlign val="subscript"/>
        <sz val="12"/>
        <rFont val="Baskerville Old Face"/>
        <family val="1"/>
      </rPr>
      <t>0</t>
    </r>
  </si>
  <si>
    <r>
      <t>t</t>
    </r>
    <r>
      <rPr>
        <b/>
        <u/>
        <vertAlign val="subscript"/>
        <sz val="12"/>
        <rFont val="Baskerville Old Face"/>
        <family val="1"/>
      </rPr>
      <t>1</t>
    </r>
    <r>
      <rPr>
        <sz val="11"/>
        <color theme="1"/>
        <rFont val="Calibri"/>
        <family val="2"/>
        <scheme val="minor"/>
      </rPr>
      <t/>
    </r>
  </si>
  <si>
    <t xml:space="preserve">Simple Interest </t>
  </si>
  <si>
    <t>P= Principal</t>
  </si>
  <si>
    <t>r=APR</t>
  </si>
  <si>
    <t>t= time (in Yrs)</t>
  </si>
  <si>
    <t>LU10-1a</t>
  </si>
  <si>
    <t>Calculate simple interest (round of to the nearest cent).</t>
  </si>
  <si>
    <t>t(yrs)</t>
  </si>
  <si>
    <t>t(days)</t>
  </si>
  <si>
    <t>t(yrs</t>
  </si>
  <si>
    <t>Ordinary YR=</t>
  </si>
  <si>
    <t>LU10-2a</t>
  </si>
  <si>
    <t>LU10-3a</t>
  </si>
  <si>
    <t>t(in yrs)</t>
  </si>
  <si>
    <t>Effective rate of Interest</t>
  </si>
  <si>
    <t>Principal (MV)</t>
  </si>
  <si>
    <t>LU11-1a</t>
  </si>
  <si>
    <t>t(weeks)</t>
  </si>
  <si>
    <t>Discounting Interest Bearing notes When Time frame is in Calendar dates</t>
  </si>
  <si>
    <t>LU11-2a</t>
  </si>
  <si>
    <t>(a)MV</t>
  </si>
  <si>
    <t>Total days</t>
  </si>
  <si>
    <t>Discount period = No. of days - toal days</t>
  </si>
  <si>
    <t>t(months)</t>
  </si>
  <si>
    <t>B= $ Bank Discount (interest up front)</t>
  </si>
  <si>
    <t>MV= Amount borrowed (Principal to be repaid in future)</t>
  </si>
  <si>
    <t>D=MV-B</t>
  </si>
  <si>
    <t>B=MVdt</t>
  </si>
  <si>
    <t>FV= Final P-Balance + Interest</t>
  </si>
  <si>
    <t>P-balance = P - P-paid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</si>
</sst>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0.000"/>
    <numFmt numFmtId="165" formatCode="0.0"/>
    <numFmt numFmtId="169" formatCode="0.0000"/>
    <numFmt numFmtId="175" formatCode="_(&quot;$&quot;* #,##0.000_);_(&quot;$&quot;* \(#,##0.000\);_(&quot;$&quot;* &quot;-&quot;?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2"/>
      <name val="Baskerville Old Face"/>
      <family val="1"/>
    </font>
    <font>
      <sz val="12"/>
      <name val="Baskerville Old Face"/>
      <family val="1"/>
    </font>
    <font>
      <sz val="10"/>
      <name val="Baskerville Old Face"/>
      <family val="1"/>
    </font>
    <font>
      <b/>
      <i/>
      <sz val="12"/>
      <name val="Baskerville Old Face"/>
      <family val="1"/>
    </font>
    <font>
      <b/>
      <u/>
      <vertAlign val="subscript"/>
      <sz val="12"/>
      <name val="Baskerville Old Face"/>
      <family val="1"/>
    </font>
    <font>
      <b/>
      <sz val="12"/>
      <name val="Baskerville Old Face"/>
      <family val="1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/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44" fontId="7" fillId="0" borderId="4" xfId="1" applyFont="1" applyBorder="1"/>
    <xf numFmtId="9" fontId="7" fillId="0" borderId="5" xfId="2" applyFont="1" applyBorder="1"/>
    <xf numFmtId="1" fontId="7" fillId="0" borderId="5" xfId="2" applyNumberFormat="1" applyFont="1" applyBorder="1"/>
    <xf numFmtId="44" fontId="7" fillId="2" borderId="5" xfId="1" applyFont="1" applyFill="1" applyBorder="1"/>
    <xf numFmtId="44" fontId="7" fillId="4" borderId="12" xfId="0" applyNumberFormat="1" applyFont="1" applyFill="1" applyBorder="1"/>
    <xf numFmtId="44" fontId="7" fillId="0" borderId="6" xfId="1" applyFont="1" applyBorder="1"/>
    <xf numFmtId="9" fontId="7" fillId="0" borderId="0" xfId="2" applyFont="1" applyBorder="1"/>
    <xf numFmtId="2" fontId="7" fillId="0" borderId="0" xfId="2" applyNumberFormat="1" applyFont="1" applyBorder="1"/>
    <xf numFmtId="44" fontId="7" fillId="2" borderId="0" xfId="1" applyFont="1" applyFill="1" applyBorder="1"/>
    <xf numFmtId="44" fontId="7" fillId="4" borderId="7" xfId="0" applyNumberFormat="1" applyFont="1" applyFill="1" applyBorder="1"/>
    <xf numFmtId="44" fontId="7" fillId="5" borderId="6" xfId="1" applyFont="1" applyFill="1" applyBorder="1"/>
    <xf numFmtId="44" fontId="7" fillId="0" borderId="0" xfId="1" applyFont="1" applyFill="1" applyBorder="1"/>
    <xf numFmtId="0" fontId="7" fillId="0" borderId="7" xfId="0" applyFont="1" applyBorder="1"/>
    <xf numFmtId="44" fontId="7" fillId="5" borderId="2" xfId="1" applyFont="1" applyFill="1" applyBorder="1"/>
    <xf numFmtId="9" fontId="7" fillId="0" borderId="1" xfId="2" applyFont="1" applyBorder="1"/>
    <xf numFmtId="2" fontId="7" fillId="0" borderId="1" xfId="2" applyNumberFormat="1" applyFont="1" applyBorder="1"/>
    <xf numFmtId="44" fontId="7" fillId="0" borderId="1" xfId="1" applyFont="1" applyFill="1" applyBorder="1"/>
    <xf numFmtId="0" fontId="7" fillId="0" borderId="8" xfId="0" applyFont="1" applyBorder="1"/>
    <xf numFmtId="0" fontId="7" fillId="0" borderId="0" xfId="0" applyFont="1" applyBorder="1"/>
    <xf numFmtId="2" fontId="7" fillId="0" borderId="5" xfId="2" applyNumberFormat="1" applyFont="1" applyBorder="1"/>
    <xf numFmtId="0" fontId="7" fillId="0" borderId="12" xfId="0" applyFont="1" applyBorder="1"/>
    <xf numFmtId="165" fontId="7" fillId="0" borderId="1" xfId="2" applyNumberFormat="1" applyFont="1" applyFill="1" applyBorder="1"/>
    <xf numFmtId="0" fontId="6" fillId="0" borderId="15" xfId="0" applyFont="1" applyBorder="1" applyAlignment="1">
      <alignment horizontal="center"/>
    </xf>
    <xf numFmtId="44" fontId="7" fillId="0" borderId="4" xfId="1" applyFont="1" applyFill="1" applyBorder="1"/>
    <xf numFmtId="44" fontId="7" fillId="3" borderId="5" xfId="1" applyFont="1" applyFill="1" applyBorder="1"/>
    <xf numFmtId="2" fontId="7" fillId="0" borderId="5" xfId="0" applyNumberFormat="1" applyFont="1" applyBorder="1"/>
    <xf numFmtId="44" fontId="7" fillId="0" borderId="2" xfId="1" applyFont="1" applyFill="1" applyBorder="1"/>
    <xf numFmtId="44" fontId="7" fillId="3" borderId="1" xfId="1" applyFont="1" applyFill="1" applyBorder="1"/>
    <xf numFmtId="2" fontId="7" fillId="0" borderId="1" xfId="0" applyNumberFormat="1" applyFont="1" applyBorder="1"/>
    <xf numFmtId="44" fontId="7" fillId="2" borderId="8" xfId="1" applyFont="1" applyFill="1" applyBorder="1"/>
    <xf numFmtId="44" fontId="7" fillId="0" borderId="2" xfId="1" applyFont="1" applyBorder="1"/>
    <xf numFmtId="44" fontId="7" fillId="0" borderId="1" xfId="1" applyFont="1" applyBorder="1"/>
    <xf numFmtId="1" fontId="7" fillId="4" borderId="0" xfId="2" applyNumberFormat="1" applyFont="1" applyFill="1" applyBorder="1"/>
    <xf numFmtId="44" fontId="7" fillId="0" borderId="0" xfId="1" applyFont="1" applyBorder="1"/>
    <xf numFmtId="44" fontId="7" fillId="0" borderId="0" xfId="2" applyNumberFormat="1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0" fontId="7" fillId="0" borderId="0" xfId="2" applyNumberFormat="1" applyFont="1" applyBorder="1"/>
    <xf numFmtId="2" fontId="7" fillId="0" borderId="0" xfId="0" applyNumberFormat="1" applyFont="1" applyBorder="1"/>
    <xf numFmtId="44" fontId="7" fillId="4" borderId="0" xfId="1" applyFont="1" applyFill="1" applyBorder="1"/>
    <xf numFmtId="10" fontId="7" fillId="0" borderId="1" xfId="2" applyNumberFormat="1" applyFont="1" applyBorder="1"/>
    <xf numFmtId="44" fontId="7" fillId="4" borderId="1" xfId="1" applyFont="1" applyFill="1" applyBorder="1"/>
    <xf numFmtId="44" fontId="7" fillId="4" borderId="8" xfId="0" applyNumberFormat="1" applyFont="1" applyFill="1" applyBorder="1"/>
    <xf numFmtId="44" fontId="7" fillId="4" borderId="0" xfId="0" applyNumberFormat="1" applyFont="1" applyFill="1" applyBorder="1"/>
    <xf numFmtId="10" fontId="7" fillId="4" borderId="0" xfId="2" applyNumberFormat="1" applyFont="1" applyFill="1" applyBorder="1"/>
    <xf numFmtId="10" fontId="7" fillId="0" borderId="7" xfId="2" applyNumberFormat="1" applyFont="1" applyBorder="1"/>
    <xf numFmtId="44" fontId="7" fillId="6" borderId="5" xfId="2" applyNumberFormat="1" applyFont="1" applyFill="1" applyBorder="1"/>
    <xf numFmtId="44" fontId="7" fillId="7" borderId="5" xfId="1" applyFont="1" applyFill="1" applyBorder="1"/>
    <xf numFmtId="44" fontId="7" fillId="7" borderId="1" xfId="1" applyFont="1" applyFill="1" applyBorder="1"/>
    <xf numFmtId="44" fontId="7" fillId="6" borderId="1" xfId="1" applyFont="1" applyFill="1" applyBorder="1"/>
    <xf numFmtId="10" fontId="7" fillId="10" borderId="12" xfId="2" applyNumberFormat="1" applyFont="1" applyFill="1" applyBorder="1"/>
    <xf numFmtId="44" fontId="7" fillId="6" borderId="12" xfId="1" applyFont="1" applyFill="1" applyBorder="1"/>
    <xf numFmtId="44" fontId="7" fillId="8" borderId="0" xfId="0" applyNumberFormat="1" applyFont="1" applyFill="1"/>
    <xf numFmtId="10" fontId="7" fillId="9" borderId="0" xfId="2" applyNumberFormat="1" applyFont="1" applyFill="1"/>
    <xf numFmtId="16" fontId="7" fillId="10" borderId="6" xfId="0" applyNumberFormat="1" applyFont="1" applyFill="1" applyBorder="1"/>
    <xf numFmtId="16" fontId="7" fillId="10" borderId="7" xfId="0" applyNumberFormat="1" applyFont="1" applyFill="1" applyBorder="1"/>
    <xf numFmtId="16" fontId="7" fillId="10" borderId="2" xfId="0" applyNumberFormat="1" applyFont="1" applyFill="1" applyBorder="1"/>
    <xf numFmtId="16" fontId="7" fillId="10" borderId="8" xfId="0" applyNumberFormat="1" applyFont="1" applyFill="1" applyBorder="1"/>
    <xf numFmtId="0" fontId="6" fillId="0" borderId="0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Fill="1" applyBorder="1"/>
    <xf numFmtId="10" fontId="7" fillId="0" borderId="5" xfId="2" applyNumberFormat="1" applyFont="1" applyBorder="1"/>
    <xf numFmtId="44" fontId="7" fillId="2" borderId="14" xfId="0" applyNumberFormat="1" applyFont="1" applyFill="1" applyBorder="1"/>
    <xf numFmtId="44" fontId="7" fillId="2" borderId="12" xfId="0" applyNumberFormat="1" applyFont="1" applyFill="1" applyBorder="1"/>
    <xf numFmtId="2" fontId="7" fillId="0" borderId="0" xfId="0" applyNumberFormat="1" applyFont="1" applyFill="1" applyBorder="1"/>
    <xf numFmtId="44" fontId="7" fillId="0" borderId="10" xfId="0" applyNumberFormat="1" applyFont="1" applyFill="1" applyBorder="1"/>
    <xf numFmtId="44" fontId="7" fillId="2" borderId="7" xfId="1" applyFont="1" applyFill="1" applyBorder="1"/>
    <xf numFmtId="10" fontId="7" fillId="0" borderId="0" xfId="2" applyNumberFormat="1" applyFont="1" applyFill="1" applyBorder="1"/>
    <xf numFmtId="44" fontId="7" fillId="0" borderId="6" xfId="1" applyFont="1" applyFill="1" applyBorder="1"/>
    <xf numFmtId="44" fontId="7" fillId="2" borderId="6" xfId="1" applyFont="1" applyFill="1" applyBorder="1"/>
    <xf numFmtId="44" fontId="7" fillId="0" borderId="7" xfId="1" applyFont="1" applyFill="1" applyBorder="1"/>
    <xf numFmtId="44" fontId="7" fillId="2" borderId="2" xfId="1" applyFont="1" applyFill="1" applyBorder="1"/>
    <xf numFmtId="2" fontId="7" fillId="0" borderId="1" xfId="0" applyNumberFormat="1" applyFont="1" applyFill="1" applyBorder="1"/>
    <xf numFmtId="44" fontId="7" fillId="0" borderId="9" xfId="0" applyNumberFormat="1" applyFont="1" applyFill="1" applyBorder="1"/>
    <xf numFmtId="44" fontId="7" fillId="0" borderId="8" xfId="1" applyFont="1" applyFill="1" applyBorder="1"/>
    <xf numFmtId="44" fontId="7" fillId="0" borderId="0" xfId="0" applyNumberFormat="1" applyFont="1" applyFill="1" applyBorder="1"/>
    <xf numFmtId="0" fontId="6" fillId="0" borderId="0" xfId="0" applyFont="1" applyAlignment="1"/>
    <xf numFmtId="0" fontId="6" fillId="0" borderId="1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44" fontId="7" fillId="0" borderId="5" xfId="1" applyFont="1" applyBorder="1"/>
    <xf numFmtId="0" fontId="7" fillId="0" borderId="5" xfId="0" applyFont="1" applyBorder="1"/>
    <xf numFmtId="44" fontId="7" fillId="0" borderId="12" xfId="1" applyFont="1" applyBorder="1"/>
    <xf numFmtId="0" fontId="7" fillId="0" borderId="4" xfId="0" applyFont="1" applyBorder="1"/>
    <xf numFmtId="2" fontId="7" fillId="0" borderId="10" xfId="0" applyNumberFormat="1" applyFont="1" applyBorder="1"/>
    <xf numFmtId="0" fontId="7" fillId="0" borderId="1" xfId="0" applyFont="1" applyBorder="1"/>
    <xf numFmtId="44" fontId="7" fillId="0" borderId="8" xfId="1" applyFont="1" applyBorder="1"/>
    <xf numFmtId="0" fontId="7" fillId="0" borderId="2" xfId="0" applyFont="1" applyBorder="1"/>
    <xf numFmtId="2" fontId="7" fillId="0" borderId="9" xfId="0" applyNumberFormat="1" applyFont="1" applyBorder="1"/>
    <xf numFmtId="0" fontId="7" fillId="0" borderId="3" xfId="0" applyFont="1" applyBorder="1"/>
    <xf numFmtId="2" fontId="7" fillId="0" borderId="0" xfId="0" applyNumberFormat="1" applyFont="1"/>
    <xf numFmtId="2" fontId="7" fillId="0" borderId="8" xfId="0" applyNumberFormat="1" applyFont="1" applyBorder="1"/>
    <xf numFmtId="44" fontId="7" fillId="0" borderId="11" xfId="1" applyFont="1" applyBorder="1"/>
    <xf numFmtId="9" fontId="7" fillId="0" borderId="3" xfId="2" applyFont="1" applyBorder="1"/>
    <xf numFmtId="2" fontId="7" fillId="0" borderId="3" xfId="0" applyNumberFormat="1" applyFont="1" applyBorder="1"/>
    <xf numFmtId="9" fontId="7" fillId="0" borderId="9" xfId="2" applyFont="1" applyBorder="1"/>
    <xf numFmtId="44" fontId="7" fillId="2" borderId="13" xfId="0" applyNumberFormat="1" applyFont="1" applyFill="1" applyBorder="1"/>
    <xf numFmtId="44" fontId="7" fillId="2" borderId="7" xfId="0" applyNumberFormat="1" applyFont="1" applyFill="1" applyBorder="1"/>
    <xf numFmtId="44" fontId="7" fillId="0" borderId="6" xfId="0" applyNumberFormat="1" applyFont="1" applyBorder="1"/>
    <xf numFmtId="164" fontId="7" fillId="0" borderId="0" xfId="0" applyNumberFormat="1" applyFont="1" applyBorder="1"/>
    <xf numFmtId="44" fontId="7" fillId="0" borderId="2" xfId="0" applyNumberFormat="1" applyFont="1" applyBorder="1"/>
    <xf numFmtId="164" fontId="7" fillId="0" borderId="1" xfId="0" applyNumberFormat="1" applyFont="1" applyBorder="1"/>
    <xf numFmtId="44" fontId="7" fillId="4" borderId="1" xfId="0" applyNumberFormat="1" applyFont="1" applyFill="1" applyBorder="1"/>
    <xf numFmtId="0" fontId="8" fillId="0" borderId="1" xfId="0" applyFont="1" applyBorder="1"/>
    <xf numFmtId="0" fontId="8" fillId="0" borderId="8" xfId="0" applyFont="1" applyBorder="1"/>
    <xf numFmtId="44" fontId="7" fillId="6" borderId="10" xfId="0" applyNumberFormat="1" applyFont="1" applyFill="1" applyBorder="1"/>
    <xf numFmtId="44" fontId="7" fillId="6" borderId="9" xfId="0" applyNumberFormat="1" applyFont="1" applyFill="1" applyBorder="1"/>
    <xf numFmtId="44" fontId="7" fillId="6" borderId="14" xfId="0" applyNumberFormat="1" applyFont="1" applyFill="1" applyBorder="1"/>
    <xf numFmtId="44" fontId="7" fillId="6" borderId="7" xfId="1" applyFont="1" applyFill="1" applyBorder="1"/>
    <xf numFmtId="44" fontId="7" fillId="6" borderId="6" xfId="1" applyFont="1" applyFill="1" applyBorder="1"/>
    <xf numFmtId="44" fontId="7" fillId="6" borderId="2" xfId="1" applyFont="1" applyFill="1" applyBorder="1"/>
    <xf numFmtId="2" fontId="7" fillId="6" borderId="11" xfId="0" applyNumberFormat="1" applyFont="1" applyFill="1" applyBorder="1"/>
    <xf numFmtId="10" fontId="7" fillId="6" borderId="0" xfId="2" applyNumberFormat="1" applyFont="1" applyFill="1" applyBorder="1"/>
    <xf numFmtId="16" fontId="7" fillId="10" borderId="1" xfId="0" applyNumberFormat="1" applyFont="1" applyFill="1" applyBorder="1"/>
    <xf numFmtId="16" fontId="7" fillId="10" borderId="0" xfId="0" applyNumberFormat="1" applyFont="1" applyFill="1" applyBorder="1"/>
    <xf numFmtId="10" fontId="7" fillId="4" borderId="1" xfId="2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4" fontId="7" fillId="0" borderId="1" xfId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44" fontId="7" fillId="0" borderId="6" xfId="1" applyFont="1" applyFill="1" applyBorder="1" applyAlignment="1">
      <alignment horizontal="center"/>
    </xf>
    <xf numFmtId="44" fontId="7" fillId="0" borderId="0" xfId="1" applyFont="1" applyFill="1" applyBorder="1" applyAlignment="1">
      <alignment horizontal="center"/>
    </xf>
    <xf numFmtId="44" fontId="7" fillId="0" borderId="2" xfId="1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3" fillId="0" borderId="0" xfId="0" applyFont="1"/>
    <xf numFmtId="9" fontId="0" fillId="0" borderId="0" xfId="0" applyNumberFormat="1"/>
    <xf numFmtId="16" fontId="0" fillId="0" borderId="0" xfId="0" applyNumberFormat="1"/>
    <xf numFmtId="16" fontId="2" fillId="0" borderId="0" xfId="0" applyNumberFormat="1" applyFont="1"/>
    <xf numFmtId="0" fontId="13" fillId="0" borderId="0" xfId="0" applyFont="1" applyAlignment="1">
      <alignment horizontal="center"/>
    </xf>
    <xf numFmtId="2" fontId="0" fillId="0" borderId="0" xfId="0" applyNumberFormat="1"/>
    <xf numFmtId="169" fontId="0" fillId="0" borderId="0" xfId="0" applyNumberFormat="1"/>
    <xf numFmtId="164" fontId="0" fillId="0" borderId="0" xfId="0" applyNumberFormat="1"/>
    <xf numFmtId="44" fontId="0" fillId="0" borderId="0" xfId="1" applyFont="1"/>
    <xf numFmtId="44" fontId="0" fillId="6" borderId="0" xfId="1" applyFont="1" applyFill="1"/>
    <xf numFmtId="44" fontId="0" fillId="6" borderId="0" xfId="0" applyNumberFormat="1" applyFill="1"/>
    <xf numFmtId="0" fontId="0" fillId="0" borderId="0" xfId="0" applyBorder="1"/>
    <xf numFmtId="0" fontId="13" fillId="0" borderId="0" xfId="0" applyFont="1" applyBorder="1" applyAlignment="1">
      <alignment horizontal="center"/>
    </xf>
    <xf numFmtId="9" fontId="13" fillId="0" borderId="0" xfId="0" applyNumberFormat="1" applyFont="1" applyBorder="1" applyAlignment="1">
      <alignment horizontal="center"/>
    </xf>
    <xf numFmtId="44" fontId="0" fillId="0" borderId="0" xfId="1" applyFont="1" applyBorder="1"/>
    <xf numFmtId="9" fontId="0" fillId="0" borderId="0" xfId="0" applyNumberFormat="1" applyBorder="1"/>
    <xf numFmtId="2" fontId="0" fillId="0" borderId="0" xfId="0" applyNumberFormat="1" applyBorder="1"/>
    <xf numFmtId="44" fontId="0" fillId="6" borderId="0" xfId="1" applyFont="1" applyFill="1" applyBorder="1"/>
    <xf numFmtId="44" fontId="0" fillId="6" borderId="0" xfId="0" applyNumberFormat="1" applyFill="1" applyBorder="1"/>
    <xf numFmtId="0" fontId="14" fillId="0" borderId="0" xfId="0" applyFont="1"/>
    <xf numFmtId="9" fontId="0" fillId="0" borderId="0" xfId="2" applyFont="1"/>
    <xf numFmtId="9" fontId="0" fillId="6" borderId="0" xfId="2" applyFont="1" applyFill="1"/>
    <xf numFmtId="2" fontId="0" fillId="6" borderId="0" xfId="0" applyNumberFormat="1" applyFill="1"/>
    <xf numFmtId="1" fontId="0" fillId="6" borderId="0" xfId="0" applyNumberFormat="1" applyFill="1"/>
    <xf numFmtId="0" fontId="1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2" fillId="0" borderId="0" xfId="0" applyNumberFormat="1" applyFont="1"/>
    <xf numFmtId="44" fontId="0" fillId="11" borderId="0" xfId="0" applyNumberFormat="1" applyFill="1"/>
    <xf numFmtId="44" fontId="0" fillId="7" borderId="0" xfId="0" applyNumberFormat="1" applyFill="1"/>
    <xf numFmtId="0" fontId="0" fillId="0" borderId="0" xfId="0" applyProtection="1">
      <protection locked="0"/>
    </xf>
    <xf numFmtId="0" fontId="15" fillId="0" borderId="16" xfId="0" applyFont="1" applyBorder="1"/>
    <xf numFmtId="44" fontId="2" fillId="0" borderId="0" xfId="1" applyFont="1"/>
    <xf numFmtId="44" fontId="0" fillId="12" borderId="0" xfId="0" applyNumberFormat="1" applyFill="1"/>
    <xf numFmtId="2" fontId="0" fillId="12" borderId="0" xfId="0" applyNumberFormat="1" applyFill="1"/>
    <xf numFmtId="44" fontId="0" fillId="7" borderId="0" xfId="1" applyFont="1" applyFill="1"/>
    <xf numFmtId="9" fontId="14" fillId="0" borderId="0" xfId="0" applyNumberFormat="1" applyFont="1"/>
    <xf numFmtId="164" fontId="14" fillId="0" borderId="0" xfId="0" applyNumberFormat="1" applyFont="1"/>
    <xf numFmtId="44" fontId="14" fillId="0" borderId="0" xfId="1" applyFont="1"/>
    <xf numFmtId="0" fontId="14" fillId="14" borderId="0" xfId="0" applyFont="1" applyFill="1"/>
    <xf numFmtId="44" fontId="14" fillId="13" borderId="0" xfId="0" applyNumberFormat="1" applyFont="1" applyFill="1"/>
    <xf numFmtId="44" fontId="14" fillId="6" borderId="0" xfId="1" applyFont="1" applyFill="1"/>
    <xf numFmtId="1" fontId="2" fillId="0" borderId="0" xfId="0" applyNumberFormat="1" applyFont="1"/>
    <xf numFmtId="164" fontId="0" fillId="0" borderId="0" xfId="0" applyNumberFormat="1" applyFill="1"/>
    <xf numFmtId="175" fontId="0" fillId="6" borderId="0" xfId="0" applyNumberForma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45</xdr:row>
          <xdr:rowOff>28575</xdr:rowOff>
        </xdr:from>
        <xdr:to>
          <xdr:col>8</xdr:col>
          <xdr:colOff>190500</xdr:colOff>
          <xdr:row>52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"/>
  <sheetViews>
    <sheetView zoomScaleNormal="100" workbookViewId="0">
      <selection activeCell="A53" sqref="A53"/>
    </sheetView>
  </sheetViews>
  <sheetFormatPr defaultColWidth="9.140625" defaultRowHeight="15.75" x14ac:dyDescent="0.25"/>
  <cols>
    <col min="1" max="1" width="15.42578125" style="2" bestFit="1" customWidth="1"/>
    <col min="2" max="2" width="9" style="2" bestFit="1" customWidth="1"/>
    <col min="3" max="3" width="16.140625" style="2" bestFit="1" customWidth="1"/>
    <col min="4" max="4" width="15" style="2" bestFit="1" customWidth="1"/>
    <col min="5" max="5" width="12.85546875" style="2" bestFit="1" customWidth="1"/>
    <col min="6" max="6" width="16.85546875" style="2" bestFit="1" customWidth="1"/>
    <col min="7" max="8" width="14.28515625" style="2" bestFit="1" customWidth="1"/>
    <col min="9" max="9" width="7.42578125" style="2" bestFit="1" customWidth="1"/>
    <col min="10" max="11" width="9.140625" style="2"/>
    <col min="12" max="12" width="12.85546875" style="2" customWidth="1"/>
    <col min="13" max="13" width="12.85546875" style="2" bestFit="1" customWidth="1"/>
    <col min="14" max="16384" width="9.140625" style="2"/>
  </cols>
  <sheetData>
    <row r="1" spans="1:12" x14ac:dyDescent="0.25">
      <c r="A1" s="128" t="s">
        <v>0</v>
      </c>
      <c r="B1" s="128"/>
      <c r="I1" s="3"/>
      <c r="J1" s="3"/>
      <c r="K1" s="3"/>
      <c r="L1" s="3"/>
    </row>
    <row r="2" spans="1:12" x14ac:dyDescent="0.25">
      <c r="A2" s="69"/>
      <c r="B2" s="69"/>
      <c r="I2" s="3"/>
      <c r="J2" s="3"/>
      <c r="K2" s="3"/>
      <c r="L2" s="3"/>
    </row>
    <row r="3" spans="1:12" x14ac:dyDescent="0.25">
      <c r="A3" s="5" t="s">
        <v>5</v>
      </c>
      <c r="B3" s="2" t="s">
        <v>6</v>
      </c>
      <c r="C3" s="70" t="s">
        <v>58</v>
      </c>
      <c r="D3" s="70" t="s">
        <v>61</v>
      </c>
      <c r="E3" s="70" t="s">
        <v>59</v>
      </c>
      <c r="F3" s="70" t="s">
        <v>60</v>
      </c>
    </row>
    <row r="4" spans="1:12" x14ac:dyDescent="0.25">
      <c r="A4" s="5"/>
      <c r="C4" s="70"/>
      <c r="D4" s="70"/>
      <c r="E4" s="70"/>
      <c r="F4" s="70"/>
    </row>
    <row r="6" spans="1:12" x14ac:dyDescent="0.25">
      <c r="A6" s="128" t="s">
        <v>13</v>
      </c>
      <c r="B6" s="128"/>
      <c r="C6" s="128"/>
      <c r="D6" s="128"/>
      <c r="E6" s="128"/>
    </row>
    <row r="7" spans="1:12" x14ac:dyDescent="0.25">
      <c r="A7" s="69"/>
      <c r="B7" s="69"/>
      <c r="C7" s="69"/>
      <c r="D7" s="69"/>
      <c r="E7" s="69"/>
    </row>
    <row r="8" spans="1:12" x14ac:dyDescent="0.25">
      <c r="A8" s="71" t="s">
        <v>14</v>
      </c>
      <c r="B8" s="3"/>
      <c r="C8" s="70" t="s">
        <v>15</v>
      </c>
      <c r="D8" s="3"/>
      <c r="E8" s="3"/>
    </row>
    <row r="9" spans="1:12" x14ac:dyDescent="0.25">
      <c r="A9" s="71" t="s">
        <v>16</v>
      </c>
      <c r="B9" s="3"/>
      <c r="C9" s="3"/>
      <c r="D9" s="3"/>
      <c r="E9" s="3"/>
    </row>
    <row r="10" spans="1:12" x14ac:dyDescent="0.25">
      <c r="A10" s="71" t="s">
        <v>17</v>
      </c>
      <c r="B10" s="3"/>
      <c r="C10" s="3"/>
      <c r="D10" s="3"/>
      <c r="E10" s="3"/>
    </row>
    <row r="11" spans="1:12" ht="16.5" thickBot="1" x14ac:dyDescent="0.3">
      <c r="A11" s="3"/>
      <c r="B11" s="3"/>
      <c r="C11" s="3"/>
      <c r="D11" s="3"/>
      <c r="E11" s="3"/>
    </row>
    <row r="12" spans="1:12" ht="16.5" thickBot="1" x14ac:dyDescent="0.3">
      <c r="A12" s="7" t="s">
        <v>1</v>
      </c>
      <c r="B12" s="8" t="s">
        <v>2</v>
      </c>
      <c r="C12" s="8" t="s">
        <v>3</v>
      </c>
      <c r="D12" s="9" t="s">
        <v>4</v>
      </c>
      <c r="E12" s="32" t="s">
        <v>10</v>
      </c>
    </row>
    <row r="13" spans="1:12" x14ac:dyDescent="0.25">
      <c r="A13" s="10">
        <v>600</v>
      </c>
      <c r="B13" s="72">
        <v>0.18</v>
      </c>
      <c r="C13" s="35">
        <v>25</v>
      </c>
      <c r="D13" s="73">
        <f t="shared" ref="D13:D18" si="0">A13*B13*C13</f>
        <v>2700</v>
      </c>
      <c r="E13" s="74">
        <f>A13+D13</f>
        <v>3300</v>
      </c>
      <c r="F13" s="5" t="s">
        <v>18</v>
      </c>
    </row>
    <row r="14" spans="1:12" x14ac:dyDescent="0.25">
      <c r="A14" s="15">
        <v>600</v>
      </c>
      <c r="B14" s="48">
        <v>0.18</v>
      </c>
      <c r="C14" s="75">
        <v>25</v>
      </c>
      <c r="D14" s="76">
        <f t="shared" si="0"/>
        <v>2700</v>
      </c>
      <c r="E14" s="77">
        <f>A14*(1+B14*C14)</f>
        <v>3300</v>
      </c>
      <c r="F14" s="5" t="s">
        <v>46</v>
      </c>
    </row>
    <row r="15" spans="1:12" x14ac:dyDescent="0.25">
      <c r="A15" s="15">
        <v>800</v>
      </c>
      <c r="B15" s="78">
        <v>0.12</v>
      </c>
      <c r="C15" s="49">
        <v>50</v>
      </c>
      <c r="D15" s="76">
        <f t="shared" si="0"/>
        <v>4800</v>
      </c>
      <c r="E15" s="77">
        <f>A15*(1+B15*C15)</f>
        <v>5600</v>
      </c>
      <c r="F15" s="5" t="s">
        <v>17</v>
      </c>
    </row>
    <row r="16" spans="1:12" x14ac:dyDescent="0.25">
      <c r="A16" s="79">
        <v>900</v>
      </c>
      <c r="B16" s="48">
        <v>0.09</v>
      </c>
      <c r="C16" s="75">
        <v>20</v>
      </c>
      <c r="D16" s="76">
        <f t="shared" si="0"/>
        <v>1620</v>
      </c>
      <c r="E16" s="77">
        <f>A16*(1+B16*C16)</f>
        <v>2520</v>
      </c>
      <c r="F16" s="5" t="s">
        <v>17</v>
      </c>
    </row>
    <row r="17" spans="1:12" x14ac:dyDescent="0.25">
      <c r="A17" s="80">
        <f>E17/(1+B17*C17)</f>
        <v>900.00000000000011</v>
      </c>
      <c r="B17" s="48">
        <v>0.09</v>
      </c>
      <c r="C17" s="75">
        <v>20</v>
      </c>
      <c r="D17" s="76">
        <f t="shared" si="0"/>
        <v>1620.0000000000002</v>
      </c>
      <c r="E17" s="81">
        <f>E16</f>
        <v>2520</v>
      </c>
      <c r="F17" s="5" t="s">
        <v>19</v>
      </c>
    </row>
    <row r="18" spans="1:12" ht="16.5" thickBot="1" x14ac:dyDescent="0.3">
      <c r="A18" s="82">
        <f>E18/(1+B18*C18)</f>
        <v>384.61538461538458</v>
      </c>
      <c r="B18" s="51">
        <v>0.08</v>
      </c>
      <c r="C18" s="83">
        <v>20</v>
      </c>
      <c r="D18" s="84">
        <f t="shared" si="0"/>
        <v>615.38461538461536</v>
      </c>
      <c r="E18" s="85">
        <v>1000</v>
      </c>
    </row>
    <row r="19" spans="1:12" x14ac:dyDescent="0.25">
      <c r="A19" s="21"/>
      <c r="B19" s="48"/>
      <c r="C19" s="75"/>
      <c r="D19" s="86"/>
      <c r="E19" s="21"/>
    </row>
    <row r="20" spans="1:12" x14ac:dyDescent="0.25">
      <c r="I20" s="3"/>
      <c r="J20" s="3"/>
      <c r="K20" s="3"/>
      <c r="L20" s="3"/>
    </row>
    <row r="21" spans="1:12" x14ac:dyDescent="0.25">
      <c r="A21" s="126" t="s">
        <v>62</v>
      </c>
      <c r="B21" s="126"/>
      <c r="C21" s="126"/>
      <c r="D21" s="87"/>
    </row>
    <row r="22" spans="1:12" ht="16.5" thickBot="1" x14ac:dyDescent="0.3">
      <c r="A22" s="4"/>
      <c r="B22" s="4"/>
      <c r="C22" s="88"/>
      <c r="D22" s="87"/>
    </row>
    <row r="23" spans="1:12" ht="16.5" thickBot="1" x14ac:dyDescent="0.3">
      <c r="A23" s="7" t="s">
        <v>1</v>
      </c>
      <c r="B23" s="8" t="s">
        <v>2</v>
      </c>
      <c r="C23" s="4" t="s">
        <v>44</v>
      </c>
      <c r="D23" s="9" t="s">
        <v>4</v>
      </c>
      <c r="I23" s="89" t="s">
        <v>3</v>
      </c>
    </row>
    <row r="24" spans="1:12" x14ac:dyDescent="0.25">
      <c r="A24" s="90">
        <v>1000</v>
      </c>
      <c r="B24" s="11">
        <v>0.06</v>
      </c>
      <c r="C24" s="91">
        <v>180</v>
      </c>
      <c r="D24" s="92">
        <f>A24*B24*(C24/G24)</f>
        <v>30</v>
      </c>
      <c r="F24" s="93" t="s">
        <v>63</v>
      </c>
      <c r="G24" s="30">
        <f>360</f>
        <v>360</v>
      </c>
      <c r="I24" s="94">
        <f>C24/G24</f>
        <v>0.5</v>
      </c>
    </row>
    <row r="25" spans="1:12" ht="16.5" thickBot="1" x14ac:dyDescent="0.3">
      <c r="A25" s="41">
        <v>1000</v>
      </c>
      <c r="B25" s="24">
        <v>0.06</v>
      </c>
      <c r="C25" s="95">
        <v>180</v>
      </c>
      <c r="D25" s="96">
        <f>A25*B25*(C25/G25)</f>
        <v>29.589041095890408</v>
      </c>
      <c r="F25" s="97" t="s">
        <v>64</v>
      </c>
      <c r="G25" s="27">
        <f>365</f>
        <v>365</v>
      </c>
      <c r="I25" s="98">
        <f>C25/G25</f>
        <v>0.49315068493150682</v>
      </c>
    </row>
    <row r="26" spans="1:12" ht="16.5" thickBot="1" x14ac:dyDescent="0.3">
      <c r="C26" s="99"/>
    </row>
    <row r="27" spans="1:12" ht="16.5" thickBot="1" x14ac:dyDescent="0.3">
      <c r="A27" s="7" t="s">
        <v>1</v>
      </c>
      <c r="B27" s="8" t="s">
        <v>2</v>
      </c>
      <c r="C27" s="88" t="s">
        <v>44</v>
      </c>
      <c r="D27" s="8" t="s">
        <v>3</v>
      </c>
      <c r="E27" s="9" t="s">
        <v>4</v>
      </c>
    </row>
    <row r="28" spans="1:12" x14ac:dyDescent="0.25">
      <c r="A28" s="15">
        <v>100</v>
      </c>
      <c r="B28" s="16">
        <f>6%</f>
        <v>0.06</v>
      </c>
      <c r="C28" s="2">
        <v>125</v>
      </c>
      <c r="D28" s="49">
        <f>C28/G28</f>
        <v>0.34722222222222221</v>
      </c>
      <c r="E28" s="115">
        <f>A28*B28*D28</f>
        <v>2.083333333333333</v>
      </c>
      <c r="F28" s="93" t="s">
        <v>63</v>
      </c>
      <c r="G28" s="30">
        <f>360</f>
        <v>360</v>
      </c>
      <c r="H28" s="100"/>
    </row>
    <row r="29" spans="1:12" ht="16.5" thickBot="1" x14ac:dyDescent="0.3">
      <c r="A29" s="40">
        <v>100</v>
      </c>
      <c r="B29" s="24">
        <v>0.06</v>
      </c>
      <c r="C29" s="95">
        <v>125</v>
      </c>
      <c r="D29" s="101">
        <f>C29/G29</f>
        <v>0.34246575342465752</v>
      </c>
      <c r="E29" s="116">
        <f>A29*B29*D29</f>
        <v>2.054794520547945</v>
      </c>
      <c r="F29" s="97" t="s">
        <v>64</v>
      </c>
      <c r="G29" s="27">
        <f>365</f>
        <v>365</v>
      </c>
      <c r="H29" s="100"/>
    </row>
    <row r="31" spans="1:12" ht="16.5" thickBot="1" x14ac:dyDescent="0.3"/>
    <row r="32" spans="1:12" ht="16.5" thickBot="1" x14ac:dyDescent="0.3">
      <c r="A32" s="7" t="s">
        <v>1</v>
      </c>
      <c r="B32" s="8" t="s">
        <v>2</v>
      </c>
      <c r="C32" s="8" t="s">
        <v>3</v>
      </c>
      <c r="D32" s="9" t="s">
        <v>4</v>
      </c>
      <c r="E32" s="32" t="s">
        <v>10</v>
      </c>
    </row>
    <row r="33" spans="1:7" x14ac:dyDescent="0.25">
      <c r="A33" s="10">
        <v>600</v>
      </c>
      <c r="B33" s="72">
        <v>0.18</v>
      </c>
      <c r="C33" s="35">
        <f>3/12</f>
        <v>0.25</v>
      </c>
      <c r="D33" s="117">
        <f t="shared" ref="D33:D38" si="1">A33*B33*C33</f>
        <v>27</v>
      </c>
      <c r="E33" s="74">
        <f>A33+D33</f>
        <v>627</v>
      </c>
    </row>
    <row r="34" spans="1:7" x14ac:dyDescent="0.25">
      <c r="A34" s="15">
        <v>600</v>
      </c>
      <c r="B34" s="48">
        <v>0.18</v>
      </c>
      <c r="C34" s="75">
        <f>90/360</f>
        <v>0.25</v>
      </c>
      <c r="D34" s="76">
        <f t="shared" si="1"/>
        <v>27</v>
      </c>
      <c r="E34" s="118">
        <f>A34*(1+B34*C34)</f>
        <v>627</v>
      </c>
    </row>
    <row r="35" spans="1:7" x14ac:dyDescent="0.25">
      <c r="A35" s="15">
        <v>800</v>
      </c>
      <c r="B35" s="78">
        <v>0.12</v>
      </c>
      <c r="C35" s="49">
        <f>180/360</f>
        <v>0.5</v>
      </c>
      <c r="D35" s="76">
        <f t="shared" si="1"/>
        <v>48</v>
      </c>
      <c r="E35" s="118">
        <f>A35*(1+B35*C35)</f>
        <v>848</v>
      </c>
    </row>
    <row r="36" spans="1:7" x14ac:dyDescent="0.25">
      <c r="A36" s="79">
        <v>900</v>
      </c>
      <c r="B36" s="48">
        <v>0.09</v>
      </c>
      <c r="C36" s="75">
        <v>2</v>
      </c>
      <c r="D36" s="76">
        <f t="shared" si="1"/>
        <v>162</v>
      </c>
      <c r="E36" s="118">
        <f>A36*(1+B36*C36)</f>
        <v>1062</v>
      </c>
    </row>
    <row r="37" spans="1:7" x14ac:dyDescent="0.25">
      <c r="A37" s="119">
        <f>E37/(1+B37*C37)</f>
        <v>900</v>
      </c>
      <c r="B37" s="48">
        <v>0.09</v>
      </c>
      <c r="C37" s="75">
        <v>2</v>
      </c>
      <c r="D37" s="76">
        <f t="shared" si="1"/>
        <v>162</v>
      </c>
      <c r="E37" s="81">
        <f>E36</f>
        <v>1062</v>
      </c>
    </row>
    <row r="38" spans="1:7" ht="16.5" thickBot="1" x14ac:dyDescent="0.3">
      <c r="A38" s="120">
        <f>E38/(1+B38*C38)</f>
        <v>862.06896551724139</v>
      </c>
      <c r="B38" s="51">
        <v>0.08</v>
      </c>
      <c r="C38" s="83">
        <v>2</v>
      </c>
      <c r="D38" s="84">
        <f t="shared" si="1"/>
        <v>137.93103448275863</v>
      </c>
      <c r="E38" s="85">
        <v>1000</v>
      </c>
      <c r="G38" s="86"/>
    </row>
    <row r="39" spans="1:7" x14ac:dyDescent="0.25">
      <c r="A39" s="21"/>
      <c r="B39" s="48"/>
      <c r="C39" s="75"/>
      <c r="D39" s="86"/>
      <c r="E39" s="21"/>
      <c r="G39" s="86"/>
    </row>
    <row r="41" spans="1:7" x14ac:dyDescent="0.25">
      <c r="A41" s="126" t="s">
        <v>66</v>
      </c>
      <c r="B41" s="126"/>
      <c r="C41" s="1" t="s">
        <v>7</v>
      </c>
      <c r="D41" s="1" t="s">
        <v>8</v>
      </c>
      <c r="E41" s="1" t="s">
        <v>67</v>
      </c>
    </row>
    <row r="42" spans="1:7" ht="16.5" thickBot="1" x14ac:dyDescent="0.3"/>
    <row r="43" spans="1:7" ht="16.5" thickBot="1" x14ac:dyDescent="0.3">
      <c r="A43" s="7" t="s">
        <v>1</v>
      </c>
      <c r="B43" s="8" t="s">
        <v>2</v>
      </c>
      <c r="C43" s="8" t="s">
        <v>3</v>
      </c>
      <c r="D43" s="32" t="s">
        <v>68</v>
      </c>
      <c r="E43" s="9" t="s">
        <v>4</v>
      </c>
    </row>
    <row r="44" spans="1:7" ht="16.5" thickBot="1" x14ac:dyDescent="0.3">
      <c r="A44" s="102">
        <v>100</v>
      </c>
      <c r="B44" s="103">
        <f>6%</f>
        <v>0.06</v>
      </c>
      <c r="C44" s="104">
        <f>60/360</f>
        <v>0.16666666666666666</v>
      </c>
      <c r="D44" s="105">
        <f>B44*C44</f>
        <v>9.9999999999999985E-3</v>
      </c>
      <c r="E44" s="106">
        <f>A44*B44*C44</f>
        <v>1</v>
      </c>
    </row>
    <row r="47" spans="1:7" x14ac:dyDescent="0.25">
      <c r="A47" s="127" t="s">
        <v>65</v>
      </c>
      <c r="B47" s="127"/>
      <c r="C47" s="127"/>
    </row>
    <row r="48" spans="1:7" ht="16.5" thickBot="1" x14ac:dyDescent="0.3">
      <c r="A48" s="88"/>
      <c r="B48" s="88"/>
      <c r="C48" s="88"/>
    </row>
    <row r="49" spans="1:8" ht="16.5" thickBot="1" x14ac:dyDescent="0.3">
      <c r="A49" s="7" t="s">
        <v>1</v>
      </c>
      <c r="B49" s="8" t="s">
        <v>2</v>
      </c>
      <c r="C49" s="8" t="s">
        <v>3</v>
      </c>
      <c r="D49" s="9" t="s">
        <v>4</v>
      </c>
    </row>
    <row r="50" spans="1:8" ht="16.5" thickBot="1" x14ac:dyDescent="0.3">
      <c r="A50" s="10">
        <v>500</v>
      </c>
      <c r="B50" s="72">
        <v>9.9900000000000003E-2</v>
      </c>
      <c r="C50" s="35">
        <f>120/360</f>
        <v>0.33333333333333331</v>
      </c>
      <c r="D50" s="117">
        <f>A50*B50*C50</f>
        <v>16.649999999999999</v>
      </c>
      <c r="E50" s="5" t="s">
        <v>45</v>
      </c>
    </row>
    <row r="51" spans="1:8" ht="16.5" thickBot="1" x14ac:dyDescent="0.3">
      <c r="A51" s="15">
        <v>300</v>
      </c>
      <c r="B51" s="48">
        <v>6.9900000000000004E-2</v>
      </c>
      <c r="C51" s="121">
        <f>D51/(A51*B51)</f>
        <v>0.85836909871244627</v>
      </c>
      <c r="D51" s="76">
        <v>18</v>
      </c>
      <c r="E51" s="5" t="s">
        <v>9</v>
      </c>
    </row>
    <row r="52" spans="1:8" x14ac:dyDescent="0.25">
      <c r="A52" s="15">
        <v>500</v>
      </c>
      <c r="B52" s="122">
        <f>D52/(A52*C52)</f>
        <v>0.08</v>
      </c>
      <c r="C52" s="49">
        <v>2</v>
      </c>
      <c r="D52" s="76">
        <v>80</v>
      </c>
      <c r="E52" s="5" t="s">
        <v>11</v>
      </c>
    </row>
    <row r="53" spans="1:8" ht="16.5" thickBot="1" x14ac:dyDescent="0.3">
      <c r="A53" s="120">
        <f>D53/(B53*C53)</f>
        <v>111.23470522803116</v>
      </c>
      <c r="B53" s="51">
        <v>8.9899999999999994E-2</v>
      </c>
      <c r="C53" s="83">
        <v>4</v>
      </c>
      <c r="D53" s="84">
        <v>40</v>
      </c>
      <c r="E53" s="5" t="s">
        <v>12</v>
      </c>
    </row>
    <row r="56" spans="1:8" x14ac:dyDescent="0.25">
      <c r="A56" s="126" t="s">
        <v>77</v>
      </c>
      <c r="B56" s="126"/>
      <c r="C56" s="126"/>
      <c r="D56" s="3"/>
      <c r="E56" s="3"/>
      <c r="F56" s="3"/>
      <c r="G56" s="3"/>
      <c r="H56" s="3"/>
    </row>
    <row r="57" spans="1:8" ht="16.5" thickBot="1" x14ac:dyDescent="0.3">
      <c r="A57" s="3"/>
      <c r="B57" s="3"/>
      <c r="C57" s="3"/>
      <c r="D57" s="3"/>
      <c r="E57" s="3"/>
      <c r="F57" s="3"/>
      <c r="G57" s="3"/>
      <c r="H57" s="3"/>
    </row>
    <row r="58" spans="1:8" ht="16.5" thickBot="1" x14ac:dyDescent="0.3">
      <c r="A58" s="7" t="s">
        <v>56</v>
      </c>
      <c r="B58" s="8" t="s">
        <v>47</v>
      </c>
      <c r="C58" s="8" t="s">
        <v>44</v>
      </c>
      <c r="D58" s="8" t="s">
        <v>48</v>
      </c>
      <c r="E58" s="8" t="s">
        <v>49</v>
      </c>
      <c r="F58" s="8" t="s">
        <v>10</v>
      </c>
      <c r="G58" s="8" t="s">
        <v>55</v>
      </c>
      <c r="H58" s="9" t="s">
        <v>57</v>
      </c>
    </row>
    <row r="59" spans="1:8" x14ac:dyDescent="0.25">
      <c r="A59" s="15">
        <v>5000</v>
      </c>
      <c r="B59" s="48">
        <v>0.11</v>
      </c>
      <c r="C59" s="28">
        <v>50</v>
      </c>
      <c r="D59" s="49">
        <f>C59/360</f>
        <v>0.1388888888888889</v>
      </c>
      <c r="E59" s="50">
        <f>A59*B59*D59</f>
        <v>76.388888888888886</v>
      </c>
      <c r="F59" s="86"/>
      <c r="G59" s="43">
        <v>600</v>
      </c>
      <c r="H59" s="107">
        <f>G59-E59</f>
        <v>523.61111111111109</v>
      </c>
    </row>
    <row r="60" spans="1:8" x14ac:dyDescent="0.25">
      <c r="A60" s="108">
        <f>A59-H59</f>
        <v>4476.3888888888887</v>
      </c>
      <c r="B60" s="48">
        <f>B59</f>
        <v>0.11</v>
      </c>
      <c r="C60" s="28">
        <v>80</v>
      </c>
      <c r="D60" s="109">
        <f>(C60-C59)/360</f>
        <v>8.3333333333333329E-2</v>
      </c>
      <c r="E60" s="50">
        <f>A60*B60*D60</f>
        <v>41.03356481481481</v>
      </c>
      <c r="F60" s="86"/>
      <c r="G60" s="43">
        <v>800</v>
      </c>
      <c r="H60" s="107">
        <f>G60-E60</f>
        <v>758.96643518518522</v>
      </c>
    </row>
    <row r="61" spans="1:8" ht="16.5" thickBot="1" x14ac:dyDescent="0.3">
      <c r="A61" s="110">
        <f>A60-H60</f>
        <v>3717.4224537037035</v>
      </c>
      <c r="B61" s="51">
        <f>B60</f>
        <v>0.11</v>
      </c>
      <c r="C61" s="95">
        <v>90</v>
      </c>
      <c r="D61" s="111">
        <f>(C61-C60)/360</f>
        <v>2.7777777777777776E-2</v>
      </c>
      <c r="E61" s="52">
        <f>A61*B61*D61</f>
        <v>11.358790830761315</v>
      </c>
      <c r="F61" s="112">
        <f>A61+E61</f>
        <v>3728.7812445344648</v>
      </c>
      <c r="G61" s="113"/>
      <c r="H61" s="114"/>
    </row>
    <row r="62" spans="1:8" ht="16.5" thickBot="1" x14ac:dyDescent="0.3">
      <c r="A62" s="3"/>
      <c r="B62" s="3"/>
      <c r="C62" s="3"/>
      <c r="D62" s="3"/>
      <c r="E62" s="3"/>
      <c r="F62" s="3"/>
      <c r="G62" s="3"/>
      <c r="H62" s="3"/>
    </row>
    <row r="63" spans="1:8" ht="16.5" thickBot="1" x14ac:dyDescent="0.3">
      <c r="A63" s="7" t="s">
        <v>56</v>
      </c>
      <c r="B63" s="8" t="s">
        <v>47</v>
      </c>
      <c r="C63" s="8" t="s">
        <v>44</v>
      </c>
      <c r="D63" s="8" t="s">
        <v>48</v>
      </c>
      <c r="E63" s="8" t="s">
        <v>49</v>
      </c>
      <c r="F63" s="8" t="s">
        <v>10</v>
      </c>
      <c r="G63" s="8" t="s">
        <v>55</v>
      </c>
      <c r="H63" s="9" t="s">
        <v>57</v>
      </c>
    </row>
    <row r="64" spans="1:8" x14ac:dyDescent="0.25">
      <c r="A64" s="15">
        <v>648500</v>
      </c>
      <c r="B64" s="48">
        <v>0.04</v>
      </c>
      <c r="C64" s="28">
        <v>15</v>
      </c>
      <c r="D64" s="49"/>
      <c r="E64" s="50"/>
      <c r="F64" s="86"/>
      <c r="G64" s="43">
        <v>7000</v>
      </c>
      <c r="H64" s="107"/>
    </row>
    <row r="65" spans="1:8" x14ac:dyDescent="0.25">
      <c r="A65" s="108"/>
      <c r="B65" s="48">
        <f>B64</f>
        <v>0.04</v>
      </c>
      <c r="C65" s="28">
        <v>40</v>
      </c>
      <c r="D65" s="109"/>
      <c r="E65" s="50"/>
      <c r="F65" s="86"/>
      <c r="G65" s="43">
        <v>20000</v>
      </c>
      <c r="H65" s="107"/>
    </row>
    <row r="66" spans="1:8" x14ac:dyDescent="0.25">
      <c r="A66" s="108"/>
      <c r="B66" s="48">
        <f t="shared" ref="B66:B67" si="2">B65</f>
        <v>0.04</v>
      </c>
      <c r="C66" s="28">
        <v>60</v>
      </c>
      <c r="D66" s="109"/>
      <c r="E66" s="50"/>
      <c r="F66" s="86"/>
      <c r="G66" s="43">
        <v>38500</v>
      </c>
      <c r="H66" s="107"/>
    </row>
    <row r="67" spans="1:8" ht="16.5" thickBot="1" x14ac:dyDescent="0.3">
      <c r="A67" s="110"/>
      <c r="B67" s="51">
        <f t="shared" si="2"/>
        <v>0.04</v>
      </c>
      <c r="C67" s="95">
        <v>120</v>
      </c>
      <c r="D67" s="111"/>
      <c r="E67" s="52"/>
      <c r="F67" s="112"/>
      <c r="G67" s="113"/>
      <c r="H67" s="114"/>
    </row>
  </sheetData>
  <mergeCells count="6">
    <mergeCell ref="A56:C56"/>
    <mergeCell ref="A47:C47"/>
    <mergeCell ref="A1:B1"/>
    <mergeCell ref="A6:E6"/>
    <mergeCell ref="A41:B41"/>
    <mergeCell ref="A21:C21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8"/>
  <sheetViews>
    <sheetView zoomScale="96" zoomScaleNormal="96" workbookViewId="0">
      <selection activeCell="F63" sqref="F63"/>
    </sheetView>
  </sheetViews>
  <sheetFormatPr defaultColWidth="9.140625" defaultRowHeight="15.75" x14ac:dyDescent="0.25"/>
  <cols>
    <col min="1" max="1" width="18.7109375" style="2" bestFit="1" customWidth="1"/>
    <col min="2" max="2" width="7.85546875" style="2" bestFit="1" customWidth="1"/>
    <col min="3" max="3" width="8.140625" style="2" customWidth="1"/>
    <col min="4" max="4" width="14" style="2" bestFit="1" customWidth="1"/>
    <col min="5" max="5" width="12.7109375" style="2" bestFit="1" customWidth="1"/>
    <col min="6" max="6" width="9.85546875" style="2" bestFit="1" customWidth="1"/>
    <col min="7" max="8" width="14" style="2" bestFit="1" customWidth="1"/>
    <col min="9" max="9" width="9" style="2" bestFit="1" customWidth="1"/>
    <col min="10" max="10" width="12.28515625" style="2" bestFit="1" customWidth="1"/>
    <col min="11" max="11" width="14.28515625" style="2" customWidth="1"/>
    <col min="12" max="12" width="9.140625" style="2"/>
    <col min="13" max="13" width="14.28515625" style="2" customWidth="1"/>
    <col min="14" max="14" width="12.85546875" style="2" customWidth="1"/>
    <col min="15" max="15" width="11" style="2" customWidth="1"/>
    <col min="16" max="16" width="12.85546875" style="2" customWidth="1"/>
    <col min="17" max="17" width="11" style="2" customWidth="1"/>
    <col min="18" max="16384" width="9.140625" style="2"/>
  </cols>
  <sheetData>
    <row r="1" spans="1:17" x14ac:dyDescent="0.25">
      <c r="A1" s="1" t="s">
        <v>20</v>
      </c>
      <c r="L1" s="3"/>
      <c r="M1" s="3"/>
      <c r="N1" s="3"/>
      <c r="O1" s="3"/>
      <c r="P1" s="3"/>
      <c r="Q1" s="3"/>
    </row>
    <row r="2" spans="1:17" x14ac:dyDescent="0.25">
      <c r="A2" s="1"/>
      <c r="L2" s="3"/>
      <c r="M2" s="3"/>
      <c r="N2" s="3"/>
      <c r="O2" s="3"/>
      <c r="P2" s="3"/>
      <c r="Q2" s="3"/>
    </row>
    <row r="3" spans="1:17" x14ac:dyDescent="0.25">
      <c r="A3" s="126" t="s">
        <v>71</v>
      </c>
      <c r="B3" s="126"/>
      <c r="C3" s="126"/>
      <c r="D3" s="126"/>
      <c r="E3" s="126"/>
      <c r="L3" s="3"/>
      <c r="M3" s="3"/>
      <c r="N3" s="3"/>
      <c r="O3" s="3"/>
      <c r="P3" s="3"/>
      <c r="Q3" s="3"/>
    </row>
    <row r="4" spans="1:17" x14ac:dyDescent="0.25">
      <c r="L4" s="3"/>
      <c r="M4" s="3"/>
      <c r="N4" s="3"/>
      <c r="O4" s="3"/>
      <c r="P4" s="3"/>
      <c r="Q4" s="3"/>
    </row>
    <row r="5" spans="1:17" x14ac:dyDescent="0.25">
      <c r="A5" s="5" t="s">
        <v>21</v>
      </c>
      <c r="B5" s="2" t="s">
        <v>6</v>
      </c>
      <c r="C5" s="129" t="s">
        <v>78</v>
      </c>
      <c r="D5" s="129"/>
      <c r="E5" s="129"/>
      <c r="F5" s="129"/>
      <c r="L5" s="3"/>
      <c r="M5" s="3"/>
      <c r="N5" s="3"/>
      <c r="O5" s="3"/>
      <c r="P5" s="3"/>
      <c r="Q5" s="3"/>
    </row>
    <row r="6" spans="1:17" x14ac:dyDescent="0.25">
      <c r="A6" s="5" t="s">
        <v>22</v>
      </c>
      <c r="C6" s="129" t="s">
        <v>69</v>
      </c>
      <c r="D6" s="129"/>
      <c r="E6" s="129"/>
      <c r="F6" s="129"/>
      <c r="G6" s="129"/>
      <c r="H6" s="129"/>
      <c r="L6" s="3"/>
      <c r="M6" s="3"/>
      <c r="N6" s="3"/>
      <c r="O6" s="3"/>
      <c r="P6" s="3"/>
      <c r="Q6" s="3"/>
    </row>
    <row r="7" spans="1:17" x14ac:dyDescent="0.25">
      <c r="A7" s="5" t="s">
        <v>23</v>
      </c>
      <c r="C7" s="129" t="s">
        <v>79</v>
      </c>
      <c r="D7" s="129"/>
      <c r="E7" s="6"/>
      <c r="L7" s="3"/>
      <c r="M7" s="3"/>
      <c r="N7" s="3"/>
      <c r="O7" s="3"/>
      <c r="P7" s="3"/>
      <c r="Q7" s="3"/>
    </row>
    <row r="8" spans="1:17" x14ac:dyDescent="0.25">
      <c r="A8" s="5" t="s">
        <v>24</v>
      </c>
      <c r="C8" s="129" t="s">
        <v>70</v>
      </c>
      <c r="D8" s="129"/>
      <c r="E8" s="129"/>
      <c r="F8" s="129"/>
      <c r="L8" s="3"/>
      <c r="M8" s="3"/>
      <c r="N8" s="3"/>
      <c r="O8" s="3"/>
      <c r="P8" s="3"/>
      <c r="Q8" s="3"/>
    </row>
    <row r="9" spans="1:17" ht="16.5" thickBot="1" x14ac:dyDescent="0.3">
      <c r="L9" s="3"/>
      <c r="M9" s="3"/>
      <c r="N9" s="3"/>
      <c r="O9" s="3"/>
      <c r="P9" s="3"/>
      <c r="Q9" s="3"/>
    </row>
    <row r="10" spans="1:17" ht="16.5" thickBot="1" x14ac:dyDescent="0.3">
      <c r="A10" s="7" t="s">
        <v>25</v>
      </c>
      <c r="B10" s="8" t="s">
        <v>26</v>
      </c>
      <c r="C10" s="8" t="s">
        <v>27</v>
      </c>
      <c r="D10" s="8" t="s">
        <v>28</v>
      </c>
      <c r="E10" s="9" t="s">
        <v>29</v>
      </c>
      <c r="L10" s="3"/>
      <c r="M10" s="3"/>
      <c r="N10" s="3"/>
      <c r="O10" s="3"/>
      <c r="P10" s="3"/>
      <c r="Q10" s="3"/>
    </row>
    <row r="11" spans="1:17" x14ac:dyDescent="0.25">
      <c r="A11" s="10">
        <v>200</v>
      </c>
      <c r="B11" s="11">
        <v>0.05</v>
      </c>
      <c r="C11" s="12">
        <v>2</v>
      </c>
      <c r="D11" s="13">
        <f>A11*(1-B11*C11)</f>
        <v>180</v>
      </c>
      <c r="E11" s="14">
        <f>A11-D11</f>
        <v>20</v>
      </c>
      <c r="L11" s="3"/>
      <c r="M11" s="3"/>
      <c r="N11" s="3"/>
      <c r="O11" s="3"/>
      <c r="P11" s="3"/>
      <c r="Q11" s="3"/>
    </row>
    <row r="12" spans="1:17" x14ac:dyDescent="0.25">
      <c r="A12" s="15">
        <v>5000</v>
      </c>
      <c r="B12" s="16">
        <v>0.08</v>
      </c>
      <c r="C12" s="17">
        <v>0.25</v>
      </c>
      <c r="D12" s="18">
        <f>A12*(1-B12*C12)</f>
        <v>4900</v>
      </c>
      <c r="E12" s="19">
        <f>A12-D12</f>
        <v>100</v>
      </c>
      <c r="L12" s="3"/>
      <c r="M12" s="3"/>
      <c r="N12" s="3"/>
      <c r="O12" s="3"/>
      <c r="P12" s="3"/>
      <c r="Q12" s="3"/>
    </row>
    <row r="13" spans="1:17" x14ac:dyDescent="0.25">
      <c r="A13" s="15">
        <v>500</v>
      </c>
      <c r="B13" s="16">
        <v>0.09</v>
      </c>
      <c r="C13" s="17">
        <v>0.75</v>
      </c>
      <c r="D13" s="18">
        <f>A13*(1-B13*C13)</f>
        <v>466.25</v>
      </c>
      <c r="E13" s="19">
        <f>A13-D13</f>
        <v>33.75</v>
      </c>
      <c r="L13" s="3"/>
      <c r="M13" s="3"/>
      <c r="N13" s="3"/>
      <c r="O13" s="3"/>
      <c r="P13" s="3"/>
      <c r="Q13" s="3"/>
    </row>
    <row r="14" spans="1:17" x14ac:dyDescent="0.25">
      <c r="A14" s="20">
        <f>D14/(1-B14*C14)</f>
        <v>536.1930294906166</v>
      </c>
      <c r="B14" s="16">
        <v>0.09</v>
      </c>
      <c r="C14" s="17">
        <v>0.75</v>
      </c>
      <c r="D14" s="21">
        <v>500</v>
      </c>
      <c r="E14" s="22"/>
      <c r="L14" s="3"/>
      <c r="M14" s="3"/>
      <c r="N14" s="3"/>
      <c r="O14" s="3"/>
      <c r="P14" s="3"/>
      <c r="Q14" s="3"/>
    </row>
    <row r="15" spans="1:17" ht="16.5" thickBot="1" x14ac:dyDescent="0.3">
      <c r="A15" s="23">
        <f>D15/(1-B15*C15)</f>
        <v>1052.6315789473686</v>
      </c>
      <c r="B15" s="24">
        <v>0.1</v>
      </c>
      <c r="C15" s="25">
        <v>0.5</v>
      </c>
      <c r="D15" s="26">
        <v>1000</v>
      </c>
      <c r="E15" s="27"/>
      <c r="L15" s="3"/>
      <c r="M15" s="3"/>
      <c r="N15" s="3"/>
      <c r="O15" s="3"/>
      <c r="P15" s="3"/>
      <c r="Q15" s="3"/>
    </row>
    <row r="16" spans="1:17" x14ac:dyDescent="0.25">
      <c r="A16" s="21"/>
      <c r="B16" s="16"/>
      <c r="C16" s="17"/>
      <c r="D16" s="21"/>
      <c r="E16" s="28"/>
      <c r="L16" s="3"/>
      <c r="M16" s="3"/>
      <c r="N16" s="3"/>
      <c r="O16" s="3"/>
      <c r="P16" s="3"/>
      <c r="Q16" s="3"/>
    </row>
    <row r="17" spans="1:17" x14ac:dyDescent="0.25">
      <c r="L17" s="3"/>
      <c r="M17" s="3"/>
      <c r="N17" s="3"/>
      <c r="O17" s="3"/>
      <c r="P17" s="3"/>
      <c r="Q17" s="3"/>
    </row>
    <row r="18" spans="1:17" x14ac:dyDescent="0.25">
      <c r="A18" s="126" t="s">
        <v>30</v>
      </c>
      <c r="B18" s="126"/>
      <c r="C18" s="126"/>
      <c r="L18" s="3"/>
      <c r="M18" s="3"/>
      <c r="N18" s="3"/>
      <c r="O18" s="3"/>
      <c r="P18" s="3"/>
      <c r="Q18" s="3"/>
    </row>
    <row r="19" spans="1:17" x14ac:dyDescent="0.25">
      <c r="A19" s="129" t="s">
        <v>31</v>
      </c>
      <c r="B19" s="129"/>
      <c r="C19" s="129" t="s">
        <v>32</v>
      </c>
      <c r="D19" s="129"/>
      <c r="E19" s="129"/>
      <c r="F19" s="129"/>
      <c r="G19" s="129"/>
      <c r="H19" s="129"/>
      <c r="I19" s="129"/>
      <c r="J19" s="129"/>
      <c r="L19" s="3"/>
      <c r="M19" s="3"/>
      <c r="N19" s="3"/>
      <c r="O19" s="3"/>
      <c r="P19" s="3"/>
      <c r="Q19" s="3"/>
    </row>
    <row r="20" spans="1:17" x14ac:dyDescent="0.25">
      <c r="A20" s="129" t="s">
        <v>33</v>
      </c>
      <c r="B20" s="129"/>
      <c r="C20" s="129" t="s">
        <v>34</v>
      </c>
      <c r="D20" s="129"/>
      <c r="E20" s="129"/>
      <c r="F20" s="129"/>
      <c r="G20" s="129"/>
      <c r="H20" s="129"/>
      <c r="I20" s="129"/>
      <c r="J20" s="129"/>
      <c r="K20" s="129"/>
    </row>
    <row r="21" spans="1:17" x14ac:dyDescent="0.25">
      <c r="C21" s="129" t="s">
        <v>35</v>
      </c>
      <c r="D21" s="129"/>
      <c r="E21" s="129"/>
      <c r="F21" s="129"/>
    </row>
    <row r="22" spans="1:17" ht="16.5" thickBot="1" x14ac:dyDescent="0.3"/>
    <row r="23" spans="1:17" ht="16.5" thickBot="1" x14ac:dyDescent="0.3">
      <c r="A23" s="7" t="s">
        <v>25</v>
      </c>
      <c r="B23" s="8" t="s">
        <v>26</v>
      </c>
      <c r="C23" s="8" t="s">
        <v>27</v>
      </c>
      <c r="D23" s="8" t="s">
        <v>28</v>
      </c>
      <c r="E23" s="9" t="s">
        <v>29</v>
      </c>
    </row>
    <row r="24" spans="1:17" x14ac:dyDescent="0.25">
      <c r="A24" s="10">
        <v>5000</v>
      </c>
      <c r="B24" s="11">
        <v>0.12</v>
      </c>
      <c r="C24" s="29">
        <v>0.25</v>
      </c>
      <c r="D24" s="13">
        <f>A24*(1-B24*C24)</f>
        <v>4850</v>
      </c>
      <c r="E24" s="30"/>
    </row>
    <row r="25" spans="1:17" ht="16.5" thickBot="1" x14ac:dyDescent="0.3">
      <c r="A25" s="134" t="s">
        <v>36</v>
      </c>
      <c r="B25" s="130"/>
      <c r="C25" s="31"/>
      <c r="D25" s="130" t="s">
        <v>37</v>
      </c>
      <c r="E25" s="130"/>
    </row>
    <row r="28" spans="1:17" x14ac:dyDescent="0.25">
      <c r="A28" s="126" t="s">
        <v>72</v>
      </c>
      <c r="B28" s="126"/>
      <c r="C28" s="126"/>
      <c r="D28" s="126"/>
    </row>
    <row r="29" spans="1:17" ht="16.5" thickBot="1" x14ac:dyDescent="0.3"/>
    <row r="30" spans="1:17" ht="16.5" thickBot="1" x14ac:dyDescent="0.3">
      <c r="A30" s="7" t="s">
        <v>25</v>
      </c>
      <c r="B30" s="32" t="s">
        <v>38</v>
      </c>
      <c r="C30" s="8" t="s">
        <v>39</v>
      </c>
      <c r="D30" s="32" t="s">
        <v>10</v>
      </c>
      <c r="E30" s="8" t="s">
        <v>26</v>
      </c>
      <c r="F30" s="32" t="s">
        <v>27</v>
      </c>
      <c r="G30" s="9" t="s">
        <v>28</v>
      </c>
      <c r="H30" s="9" t="s">
        <v>29</v>
      </c>
      <c r="I30" s="9" t="s">
        <v>74</v>
      </c>
    </row>
    <row r="31" spans="1:17" x14ac:dyDescent="0.25">
      <c r="A31" s="33">
        <v>300000</v>
      </c>
      <c r="B31" s="11">
        <v>0.1</v>
      </c>
      <c r="C31" s="29">
        <f>180/365</f>
        <v>0.49315068493150682</v>
      </c>
      <c r="D31" s="34">
        <f>A31*(1+B31*C31)</f>
        <v>314794.52054794523</v>
      </c>
      <c r="E31" s="11">
        <v>0.12</v>
      </c>
      <c r="F31" s="35">
        <f>120/365</f>
        <v>0.32876712328767121</v>
      </c>
      <c r="G31" s="62">
        <f>D31*(1-E31*F31)</f>
        <v>302375.22987427289</v>
      </c>
      <c r="H31" s="63">
        <f>D31-G31</f>
        <v>12419.290673672338</v>
      </c>
      <c r="I31" s="64">
        <f>H31/(G31*F31)</f>
        <v>0.12492869366799748</v>
      </c>
    </row>
    <row r="32" spans="1:17" x14ac:dyDescent="0.25">
      <c r="A32" s="132" t="s">
        <v>40</v>
      </c>
      <c r="B32" s="133"/>
      <c r="C32" s="133"/>
      <c r="D32" s="133"/>
      <c r="E32" s="133"/>
      <c r="F32" s="133"/>
      <c r="G32" s="133"/>
    </row>
    <row r="33" spans="1:9" ht="16.5" thickBot="1" x14ac:dyDescent="0.3">
      <c r="A33" s="36">
        <v>100</v>
      </c>
      <c r="B33" s="24">
        <v>0.1</v>
      </c>
      <c r="C33" s="25">
        <f>0.25</f>
        <v>0.25</v>
      </c>
      <c r="D33" s="37">
        <f>A33*(1+B33*C33)</f>
        <v>102.49999999999999</v>
      </c>
      <c r="E33" s="24">
        <v>0.18</v>
      </c>
      <c r="F33" s="38">
        <f>40/360</f>
        <v>0.1111111111111111</v>
      </c>
      <c r="G33" s="39">
        <f>D33*(1-E33*F33)</f>
        <v>100.44999999999999</v>
      </c>
    </row>
    <row r="36" spans="1:9" x14ac:dyDescent="0.25">
      <c r="A36" s="126" t="s">
        <v>73</v>
      </c>
      <c r="B36" s="126"/>
      <c r="C36" s="126"/>
    </row>
    <row r="38" spans="1:9" x14ac:dyDescent="0.25">
      <c r="A38" s="5" t="s">
        <v>41</v>
      </c>
      <c r="B38" s="131" t="s">
        <v>42</v>
      </c>
      <c r="C38" s="131"/>
      <c r="D38" s="131"/>
      <c r="H38" s="3"/>
    </row>
    <row r="39" spans="1:9" ht="16.5" thickBot="1" x14ac:dyDescent="0.3">
      <c r="H39" s="3"/>
    </row>
    <row r="40" spans="1:9" ht="16.5" thickBot="1" x14ac:dyDescent="0.3">
      <c r="A40" s="7" t="s">
        <v>82</v>
      </c>
      <c r="B40" s="32" t="s">
        <v>26</v>
      </c>
      <c r="C40" s="8" t="s">
        <v>81</v>
      </c>
      <c r="D40" s="8" t="s">
        <v>3</v>
      </c>
      <c r="E40" s="32" t="s">
        <v>28</v>
      </c>
      <c r="F40" s="8" t="s">
        <v>43</v>
      </c>
      <c r="G40" s="32" t="s">
        <v>74</v>
      </c>
      <c r="H40" s="3"/>
    </row>
    <row r="41" spans="1:9" ht="16.5" thickBot="1" x14ac:dyDescent="0.3">
      <c r="A41" s="33">
        <v>10000</v>
      </c>
      <c r="B41" s="11">
        <v>0.06</v>
      </c>
      <c r="C41" s="2">
        <v>13</v>
      </c>
      <c r="D41" s="29">
        <f>C41/52</f>
        <v>0.25</v>
      </c>
      <c r="E41" s="58">
        <f>A41-F41</f>
        <v>9850</v>
      </c>
      <c r="F41" s="57">
        <f>A41*B41*D41</f>
        <v>150</v>
      </c>
      <c r="G41" s="61">
        <f>F41/(E41*D41)</f>
        <v>6.0913705583756347E-2</v>
      </c>
      <c r="H41" s="3"/>
    </row>
    <row r="42" spans="1:9" ht="16.5" thickBot="1" x14ac:dyDescent="0.3">
      <c r="A42" s="33">
        <v>10000</v>
      </c>
      <c r="B42" s="11">
        <v>0.06</v>
      </c>
      <c r="C42" s="2">
        <v>13</v>
      </c>
      <c r="D42" s="29">
        <f>C42/52</f>
        <v>0.25</v>
      </c>
      <c r="E42" s="60">
        <f>A42*(1-B42*D42)</f>
        <v>9850</v>
      </c>
      <c r="F42" s="59">
        <f>A42-E42</f>
        <v>150</v>
      </c>
      <c r="G42" s="61">
        <f>F42/(E42*D42)</f>
        <v>6.0913705583756347E-2</v>
      </c>
      <c r="H42" s="3"/>
      <c r="I42" s="3"/>
    </row>
    <row r="43" spans="1:9" x14ac:dyDescent="0.25">
      <c r="H43" s="3"/>
      <c r="I43" s="3"/>
    </row>
    <row r="44" spans="1:9" x14ac:dyDescent="0.25">
      <c r="H44" s="3"/>
      <c r="I44" s="3"/>
    </row>
    <row r="45" spans="1:9" x14ac:dyDescent="0.25">
      <c r="A45" s="126" t="s">
        <v>75</v>
      </c>
      <c r="B45" s="126"/>
      <c r="C45" s="126"/>
      <c r="D45" s="126"/>
      <c r="E45" s="126"/>
      <c r="I45" s="3"/>
    </row>
    <row r="46" spans="1:9" x14ac:dyDescent="0.25">
      <c r="I46" s="3"/>
    </row>
    <row r="47" spans="1:9" x14ac:dyDescent="0.25">
      <c r="A47" s="5" t="s">
        <v>76</v>
      </c>
      <c r="I47" s="3"/>
    </row>
    <row r="48" spans="1:9" ht="16.5" thickBot="1" x14ac:dyDescent="0.3">
      <c r="I48" s="3"/>
    </row>
    <row r="49" spans="1:10" ht="16.5" thickBot="1" x14ac:dyDescent="0.3">
      <c r="A49" s="7" t="s">
        <v>25</v>
      </c>
      <c r="B49" s="32" t="s">
        <v>26</v>
      </c>
      <c r="C49" s="8" t="s">
        <v>27</v>
      </c>
      <c r="D49" s="32" t="s">
        <v>28</v>
      </c>
      <c r="E49" s="8" t="s">
        <v>43</v>
      </c>
      <c r="F49" s="32" t="s">
        <v>74</v>
      </c>
      <c r="I49" s="3"/>
    </row>
    <row r="50" spans="1:10" x14ac:dyDescent="0.25">
      <c r="A50" s="15">
        <f>A41</f>
        <v>10000</v>
      </c>
      <c r="B50" s="16">
        <f>B41</f>
        <v>0.06</v>
      </c>
      <c r="C50" s="42">
        <f>(1-D50/A50)/B50</f>
        <v>0.25000000000000022</v>
      </c>
      <c r="D50" s="43">
        <f>E41</f>
        <v>9850</v>
      </c>
      <c r="E50" s="44">
        <f>F41</f>
        <v>150</v>
      </c>
      <c r="F50" s="22"/>
      <c r="I50" s="3"/>
    </row>
    <row r="51" spans="1:10" x14ac:dyDescent="0.25">
      <c r="A51" s="15">
        <v>10000</v>
      </c>
      <c r="B51" s="16">
        <v>0.06</v>
      </c>
      <c r="C51" s="17">
        <v>0.5</v>
      </c>
      <c r="D51" s="43"/>
      <c r="E51" s="16"/>
      <c r="F51" s="22"/>
      <c r="I51" s="3"/>
    </row>
    <row r="52" spans="1:10" ht="16.5" thickBot="1" x14ac:dyDescent="0.3">
      <c r="A52" s="40">
        <v>8000</v>
      </c>
      <c r="B52" s="24">
        <v>0.12</v>
      </c>
      <c r="C52" s="25">
        <v>0.33333333333333331</v>
      </c>
      <c r="D52" s="41"/>
      <c r="E52" s="24"/>
      <c r="F52" s="27"/>
      <c r="I52" s="3"/>
    </row>
    <row r="55" spans="1:10" x14ac:dyDescent="0.25">
      <c r="A55" s="126" t="s">
        <v>80</v>
      </c>
      <c r="B55" s="126"/>
      <c r="C55" s="126"/>
      <c r="D55" s="126"/>
      <c r="E55" s="126"/>
    </row>
    <row r="56" spans="1:10" ht="16.5" thickBot="1" x14ac:dyDescent="0.3"/>
    <row r="57" spans="1:10" ht="18.75" x14ac:dyDescent="0.35">
      <c r="A57" s="45" t="s">
        <v>1</v>
      </c>
      <c r="B57" s="46" t="s">
        <v>47</v>
      </c>
      <c r="C57" s="46" t="s">
        <v>48</v>
      </c>
      <c r="D57" s="46" t="s">
        <v>49</v>
      </c>
      <c r="E57" s="47" t="s">
        <v>10</v>
      </c>
      <c r="G57" s="45" t="s">
        <v>83</v>
      </c>
      <c r="H57" s="45" t="s">
        <v>84</v>
      </c>
      <c r="I57" s="47" t="s">
        <v>39</v>
      </c>
    </row>
    <row r="58" spans="1:10" x14ac:dyDescent="0.25">
      <c r="A58" s="15">
        <v>55000</v>
      </c>
      <c r="B58" s="48">
        <v>7.4999999999999997E-2</v>
      </c>
      <c r="C58" s="49">
        <f>(I58-G58)/365</f>
        <v>0.43835616438356162</v>
      </c>
      <c r="D58" s="50">
        <f>A58*B58*C58</f>
        <v>1808.2191780821918</v>
      </c>
      <c r="E58" s="19">
        <f>A58+D58</f>
        <v>56808.219178082189</v>
      </c>
      <c r="G58" s="65">
        <v>42833</v>
      </c>
      <c r="H58" s="124">
        <v>42894</v>
      </c>
      <c r="I58" s="66">
        <f>G58+160</f>
        <v>42993</v>
      </c>
    </row>
    <row r="59" spans="1:10" ht="16.5" thickBot="1" x14ac:dyDescent="0.3">
      <c r="A59" s="40">
        <v>55000</v>
      </c>
      <c r="B59" s="51">
        <v>7.4999999999999997E-2</v>
      </c>
      <c r="C59" s="38">
        <f>(I59-G59)/360</f>
        <v>0.5</v>
      </c>
      <c r="D59" s="52">
        <f>A59*B59*C59</f>
        <v>2062.5</v>
      </c>
      <c r="E59" s="53">
        <f>A59+D59</f>
        <v>57062.5</v>
      </c>
      <c r="G59" s="67">
        <v>42801</v>
      </c>
      <c r="H59" s="123">
        <v>42935</v>
      </c>
      <c r="I59" s="68">
        <f>G59+180</f>
        <v>42981</v>
      </c>
    </row>
    <row r="60" spans="1:10" ht="16.5" thickBo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10" x14ac:dyDescent="0.25">
      <c r="A61" s="45" t="s">
        <v>1</v>
      </c>
      <c r="B61" s="46" t="s">
        <v>2</v>
      </c>
      <c r="C61" s="46" t="s">
        <v>48</v>
      </c>
      <c r="D61" s="46" t="s">
        <v>50</v>
      </c>
      <c r="E61" s="46" t="s">
        <v>26</v>
      </c>
      <c r="F61" s="46" t="s">
        <v>48</v>
      </c>
      <c r="G61" s="46" t="s">
        <v>51</v>
      </c>
      <c r="H61" s="46" t="s">
        <v>52</v>
      </c>
      <c r="I61" s="46" t="s">
        <v>53</v>
      </c>
      <c r="J61" s="47" t="s">
        <v>54</v>
      </c>
    </row>
    <row r="62" spans="1:10" x14ac:dyDescent="0.25">
      <c r="A62" s="15">
        <v>35000</v>
      </c>
      <c r="B62" s="48">
        <v>0.11</v>
      </c>
      <c r="C62" s="49">
        <f>(I58-G58)/360</f>
        <v>0.44444444444444442</v>
      </c>
      <c r="D62" s="50">
        <f>A62*(1+B62*C62)</f>
        <v>36711.111111111117</v>
      </c>
      <c r="E62" s="48">
        <v>0.09</v>
      </c>
      <c r="F62" s="28">
        <f>(I58-H58)/360</f>
        <v>0.27500000000000002</v>
      </c>
      <c r="G62" s="54">
        <f>D62*E62*F62</f>
        <v>908.60000000000025</v>
      </c>
      <c r="H62" s="54">
        <f>D62-G62</f>
        <v>35802.511111111118</v>
      </c>
      <c r="I62" s="55">
        <f>G62/(H62*F62)</f>
        <v>9.228402973596514E-2</v>
      </c>
      <c r="J62" s="56">
        <f>E62/(1-E62)</f>
        <v>9.8901098901098897E-2</v>
      </c>
    </row>
    <row r="63" spans="1:10" ht="16.5" thickBot="1" x14ac:dyDescent="0.3">
      <c r="A63" s="40">
        <v>125780</v>
      </c>
      <c r="B63" s="51">
        <v>0.13750000000000001</v>
      </c>
      <c r="C63" s="38">
        <f>(I59-G59)/360</f>
        <v>0.5</v>
      </c>
      <c r="D63" s="52">
        <f>A63*(1+B63*C63)</f>
        <v>134427.375</v>
      </c>
      <c r="E63" s="51">
        <v>0.09</v>
      </c>
      <c r="F63" s="111">
        <f>(I59-H59)/360</f>
        <v>0.12777777777777777</v>
      </c>
      <c r="G63" s="112">
        <f>D63*E63*F63</f>
        <v>1545.9148124999997</v>
      </c>
      <c r="H63" s="112">
        <f>D63-G63</f>
        <v>132881.46018749999</v>
      </c>
      <c r="I63" s="125">
        <f>G63/(H63*F63)</f>
        <v>9.1047040971168433E-2</v>
      </c>
      <c r="J63" s="27"/>
    </row>
    <row r="64" spans="1:10" x14ac:dyDescent="0.25">
      <c r="A64" s="3"/>
      <c r="B64" s="3"/>
      <c r="D64" s="3"/>
      <c r="E64" s="3"/>
      <c r="F64" s="3"/>
      <c r="G64" s="3"/>
      <c r="H64" s="3"/>
      <c r="I64" s="3"/>
    </row>
    <row r="65" spans="1:9" x14ac:dyDescent="0.25">
      <c r="A65" s="3"/>
      <c r="B65" s="3"/>
      <c r="D65" s="3"/>
      <c r="E65" s="3"/>
      <c r="G65" s="3"/>
      <c r="H65" s="3"/>
      <c r="I65" s="3"/>
    </row>
    <row r="66" spans="1:9" x14ac:dyDescent="0.25">
      <c r="I66" s="3"/>
    </row>
    <row r="67" spans="1:9" x14ac:dyDescent="0.25">
      <c r="I67" s="3"/>
    </row>
    <row r="68" spans="1:9" x14ac:dyDescent="0.25">
      <c r="I68" s="3"/>
    </row>
    <row r="69" spans="1:9" x14ac:dyDescent="0.25">
      <c r="I69" s="3"/>
    </row>
    <row r="70" spans="1:9" x14ac:dyDescent="0.25">
      <c r="I70" s="3"/>
    </row>
    <row r="71" spans="1:9" x14ac:dyDescent="0.25">
      <c r="I71" s="3"/>
    </row>
    <row r="72" spans="1:9" x14ac:dyDescent="0.25">
      <c r="I72" s="3"/>
    </row>
    <row r="73" spans="1:9" x14ac:dyDescent="0.25">
      <c r="I73" s="3"/>
    </row>
    <row r="74" spans="1:9" x14ac:dyDescent="0.25">
      <c r="I74" s="3"/>
    </row>
    <row r="75" spans="1:9" x14ac:dyDescent="0.25">
      <c r="I75" s="3"/>
    </row>
    <row r="76" spans="1:9" x14ac:dyDescent="0.25">
      <c r="I76" s="3"/>
    </row>
    <row r="77" spans="1:9" x14ac:dyDescent="0.25">
      <c r="I77" s="3"/>
    </row>
    <row r="78" spans="1:9" x14ac:dyDescent="0.25">
      <c r="I78" s="3"/>
    </row>
  </sheetData>
  <mergeCells count="19">
    <mergeCell ref="A3:E3"/>
    <mergeCell ref="C5:F5"/>
    <mergeCell ref="C7:D7"/>
    <mergeCell ref="A55:E55"/>
    <mergeCell ref="C6:H6"/>
    <mergeCell ref="C8:F8"/>
    <mergeCell ref="D25:E25"/>
    <mergeCell ref="C20:K20"/>
    <mergeCell ref="C19:J19"/>
    <mergeCell ref="A45:E45"/>
    <mergeCell ref="A36:C36"/>
    <mergeCell ref="B38:D38"/>
    <mergeCell ref="A32:G32"/>
    <mergeCell ref="C21:F21"/>
    <mergeCell ref="A18:C18"/>
    <mergeCell ref="A28:D28"/>
    <mergeCell ref="A20:B20"/>
    <mergeCell ref="A19:B19"/>
    <mergeCell ref="A25:B25"/>
  </mergeCells>
  <phoneticPr fontId="0" type="noConversion"/>
  <pageMargins left="0.75" right="0.75" top="1" bottom="1" header="0.5" footer="0.5"/>
  <pageSetup orientation="portrait" horizont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>
              <from>
                <xdr:col>7</xdr:col>
                <xdr:colOff>28575</xdr:colOff>
                <xdr:row>45</xdr:row>
                <xdr:rowOff>28575</xdr:rowOff>
              </from>
              <to>
                <xdr:col>8</xdr:col>
                <xdr:colOff>190500</xdr:colOff>
                <xdr:row>52</xdr:row>
                <xdr:rowOff>180975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25" zoomScale="109" zoomScaleNormal="109" workbookViewId="0">
      <selection activeCell="H28" sqref="H28"/>
    </sheetView>
  </sheetViews>
  <sheetFormatPr defaultColWidth="8.85546875" defaultRowHeight="12.75" x14ac:dyDescent="0.2"/>
  <cols>
    <col min="1" max="1" width="8.5703125" customWidth="1"/>
    <col min="2" max="2" width="14.140625" customWidth="1"/>
    <col min="3" max="3" width="9.42578125" customWidth="1"/>
    <col min="4" max="4" width="10.140625" customWidth="1"/>
    <col min="5" max="5" width="14.7109375" customWidth="1"/>
    <col min="6" max="6" width="12.85546875" bestFit="1" customWidth="1"/>
    <col min="7" max="7" width="15.140625" customWidth="1"/>
    <col min="8" max="8" width="11" bestFit="1" customWidth="1"/>
    <col min="9" max="9" width="11.85546875" customWidth="1"/>
    <col min="10" max="10" width="9" bestFit="1" customWidth="1"/>
    <col min="11" max="11" width="9.28515625" bestFit="1" customWidth="1"/>
    <col min="12" max="12" width="13.140625" customWidth="1"/>
    <col min="13" max="13" width="14.140625" customWidth="1"/>
    <col min="14" max="15" width="14.140625" bestFit="1" customWidth="1"/>
    <col min="16" max="16" width="12.85546875" bestFit="1" customWidth="1"/>
    <col min="17" max="17" width="11.28515625" bestFit="1" customWidth="1"/>
  </cols>
  <sheetData>
    <row r="1" spans="1:8" x14ac:dyDescent="0.2">
      <c r="B1" s="137" t="s">
        <v>85</v>
      </c>
      <c r="C1" s="137"/>
    </row>
    <row r="2" spans="1:8" x14ac:dyDescent="0.2">
      <c r="B2" s="135" t="s">
        <v>5</v>
      </c>
      <c r="C2" s="138" t="s">
        <v>6</v>
      </c>
      <c r="D2" s="135" t="s">
        <v>58</v>
      </c>
      <c r="E2" s="135" t="s">
        <v>86</v>
      </c>
      <c r="F2" s="135" t="s">
        <v>87</v>
      </c>
      <c r="G2" s="135" t="s">
        <v>88</v>
      </c>
    </row>
    <row r="4" spans="1:8" x14ac:dyDescent="0.2">
      <c r="A4" s="170" t="s">
        <v>89</v>
      </c>
      <c r="B4" s="139" t="s">
        <v>90</v>
      </c>
      <c r="C4" s="139"/>
      <c r="D4" s="139"/>
      <c r="E4" s="139"/>
    </row>
    <row r="5" spans="1:8" x14ac:dyDescent="0.2">
      <c r="A5" s="169"/>
      <c r="B5" s="152" t="s">
        <v>1</v>
      </c>
      <c r="C5" s="153" t="s">
        <v>2</v>
      </c>
      <c r="D5" s="152" t="s">
        <v>107</v>
      </c>
      <c r="E5" s="152" t="s">
        <v>93</v>
      </c>
      <c r="F5" s="152" t="s">
        <v>4</v>
      </c>
    </row>
    <row r="6" spans="1:8" x14ac:dyDescent="0.2">
      <c r="A6">
        <v>1</v>
      </c>
      <c r="B6" s="171">
        <v>16000</v>
      </c>
      <c r="C6" s="141">
        <v>0.03</v>
      </c>
      <c r="D6" s="181">
        <v>8</v>
      </c>
      <c r="E6" s="182">
        <f>D6/12</f>
        <v>0.66666666666666663</v>
      </c>
      <c r="F6" s="183">
        <f>B6*C6*E6</f>
        <v>320</v>
      </c>
    </row>
    <row r="7" spans="1:8" x14ac:dyDescent="0.2">
      <c r="A7">
        <v>2</v>
      </c>
      <c r="B7" s="148">
        <v>15000</v>
      </c>
      <c r="C7">
        <v>0.06</v>
      </c>
      <c r="D7">
        <v>72</v>
      </c>
      <c r="E7">
        <f>D7/12</f>
        <v>6</v>
      </c>
      <c r="F7" s="149">
        <f>B7*C7*E7</f>
        <v>5400</v>
      </c>
    </row>
    <row r="8" spans="1:8" x14ac:dyDescent="0.2">
      <c r="A8">
        <v>3</v>
      </c>
      <c r="B8" s="148">
        <v>50000</v>
      </c>
      <c r="C8">
        <v>7.0000000000000007E-2</v>
      </c>
      <c r="D8">
        <v>18</v>
      </c>
      <c r="E8">
        <f>D8/12</f>
        <v>1.5</v>
      </c>
      <c r="F8" s="149">
        <f>B8*C8*E8</f>
        <v>5250.0000000000009</v>
      </c>
    </row>
    <row r="9" spans="1:8" x14ac:dyDescent="0.2">
      <c r="B9" s="139"/>
      <c r="C9" s="139"/>
      <c r="D9" s="139"/>
    </row>
    <row r="10" spans="1:8" x14ac:dyDescent="0.2">
      <c r="A10" s="151"/>
      <c r="B10" s="152" t="s">
        <v>1</v>
      </c>
      <c r="C10" s="153" t="s">
        <v>2</v>
      </c>
      <c r="D10" s="152" t="s">
        <v>92</v>
      </c>
      <c r="E10" s="152" t="s">
        <v>93</v>
      </c>
      <c r="F10" s="152" t="s">
        <v>4</v>
      </c>
    </row>
    <row r="11" spans="1:8" x14ac:dyDescent="0.2">
      <c r="A11" s="151">
        <v>4</v>
      </c>
      <c r="B11" s="154">
        <v>20000</v>
      </c>
      <c r="C11" s="155">
        <v>7.0000000000000007E-2</v>
      </c>
      <c r="D11" s="151">
        <v>100</v>
      </c>
      <c r="E11" s="156">
        <f>D11/365</f>
        <v>0.27397260273972601</v>
      </c>
      <c r="F11" s="157">
        <f>B11*C11*E11</f>
        <v>383.56164383561651</v>
      </c>
      <c r="G11" s="138" t="s">
        <v>94</v>
      </c>
      <c r="H11">
        <v>365</v>
      </c>
    </row>
    <row r="12" spans="1:8" x14ac:dyDescent="0.2">
      <c r="A12" s="151">
        <v>5</v>
      </c>
      <c r="B12" s="154">
        <v>20000</v>
      </c>
      <c r="C12" s="155">
        <v>7.0000000000000007E-2</v>
      </c>
      <c r="D12" s="151">
        <v>100</v>
      </c>
      <c r="E12" s="151">
        <f>D12/360</f>
        <v>0.27777777777777779</v>
      </c>
      <c r="F12" s="158">
        <f>B12*C12*E12</f>
        <v>388.88888888888897</v>
      </c>
      <c r="G12" s="138" t="s">
        <v>94</v>
      </c>
      <c r="H12">
        <v>360</v>
      </c>
    </row>
    <row r="14" spans="1:8" x14ac:dyDescent="0.2">
      <c r="B14" s="137" t="s">
        <v>65</v>
      </c>
      <c r="C14" s="137"/>
      <c r="D14" s="137"/>
      <c r="E14" s="137"/>
    </row>
    <row r="15" spans="1:8" x14ac:dyDescent="0.2">
      <c r="A15" s="135" t="s">
        <v>95</v>
      </c>
    </row>
    <row r="16" spans="1:8" x14ac:dyDescent="0.2">
      <c r="B16" s="144" t="s">
        <v>1</v>
      </c>
      <c r="C16" s="144" t="s">
        <v>2</v>
      </c>
      <c r="D16" s="144" t="s">
        <v>92</v>
      </c>
      <c r="E16" s="144" t="s">
        <v>91</v>
      </c>
      <c r="F16" s="144" t="s">
        <v>4</v>
      </c>
    </row>
    <row r="17" spans="1:9" x14ac:dyDescent="0.2">
      <c r="A17">
        <v>1</v>
      </c>
      <c r="B17" s="149">
        <f>F17/(C17*E17)</f>
        <v>900000</v>
      </c>
      <c r="C17" s="160">
        <v>0.04</v>
      </c>
      <c r="D17">
        <v>90</v>
      </c>
      <c r="E17">
        <f>D17/360</f>
        <v>0.25</v>
      </c>
      <c r="F17" s="148">
        <v>9000</v>
      </c>
      <c r="G17" s="135" t="s">
        <v>12</v>
      </c>
    </row>
    <row r="18" spans="1:9" x14ac:dyDescent="0.2">
      <c r="A18">
        <v>2</v>
      </c>
      <c r="B18" s="148">
        <v>6000</v>
      </c>
      <c r="C18" s="161">
        <f>F18/(B18*E18)</f>
        <v>9.3333333333333338E-2</v>
      </c>
      <c r="D18">
        <v>180</v>
      </c>
      <c r="E18" s="145">
        <f>D18/360</f>
        <v>0.5</v>
      </c>
      <c r="F18" s="148">
        <v>280</v>
      </c>
      <c r="G18" s="135" t="s">
        <v>11</v>
      </c>
    </row>
    <row r="19" spans="1:9" x14ac:dyDescent="0.2">
      <c r="A19">
        <v>3</v>
      </c>
      <c r="B19" s="148">
        <v>900</v>
      </c>
      <c r="C19" s="160">
        <v>0.06</v>
      </c>
      <c r="D19" s="163">
        <f>E19*360</f>
        <v>1266.6666666666667</v>
      </c>
      <c r="E19" s="162">
        <f>F19/(B19*C19)</f>
        <v>3.5185185185185186</v>
      </c>
      <c r="F19" s="148">
        <v>190</v>
      </c>
      <c r="G19" s="135" t="s">
        <v>9</v>
      </c>
    </row>
    <row r="21" spans="1:9" x14ac:dyDescent="0.2">
      <c r="A21" s="135" t="s">
        <v>96</v>
      </c>
    </row>
    <row r="22" spans="1:9" x14ac:dyDescent="0.2">
      <c r="B22" s="137" t="s">
        <v>77</v>
      </c>
      <c r="C22" s="137"/>
      <c r="D22" s="137"/>
      <c r="E22" s="137"/>
    </row>
    <row r="23" spans="1:9" x14ac:dyDescent="0.2">
      <c r="B23" s="137" t="s">
        <v>113</v>
      </c>
      <c r="C23" s="137"/>
      <c r="D23" s="137"/>
      <c r="E23" s="137"/>
      <c r="F23" s="137" t="s">
        <v>112</v>
      </c>
      <c r="G23" s="137"/>
      <c r="H23" s="137"/>
      <c r="I23" s="137"/>
    </row>
    <row r="24" spans="1:9" x14ac:dyDescent="0.2">
      <c r="B24" s="144" t="s">
        <v>56</v>
      </c>
      <c r="C24" s="144" t="s">
        <v>2</v>
      </c>
      <c r="D24" s="144" t="s">
        <v>92</v>
      </c>
      <c r="E24" s="144" t="s">
        <v>97</v>
      </c>
      <c r="F24" s="164" t="s">
        <v>49</v>
      </c>
      <c r="G24" s="144" t="s">
        <v>10</v>
      </c>
      <c r="H24" s="144" t="s">
        <v>55</v>
      </c>
      <c r="I24" s="144" t="s">
        <v>57</v>
      </c>
    </row>
    <row r="25" spans="1:9" x14ac:dyDescent="0.2">
      <c r="B25" s="148">
        <v>4000</v>
      </c>
      <c r="C25" s="141">
        <v>0.04</v>
      </c>
      <c r="D25">
        <v>15</v>
      </c>
      <c r="E25" s="147">
        <f>D25/360</f>
        <v>4.1666666666666664E-2</v>
      </c>
      <c r="F25" s="149">
        <f>B25*C25*E25</f>
        <v>6.6666666666666661</v>
      </c>
      <c r="H25" s="148">
        <v>700</v>
      </c>
      <c r="I25" s="167">
        <f>H25-F25</f>
        <v>693.33333333333337</v>
      </c>
    </row>
    <row r="26" spans="1:9" x14ac:dyDescent="0.2">
      <c r="B26" s="148">
        <v>3306.67</v>
      </c>
      <c r="C26" s="141">
        <v>0.04</v>
      </c>
      <c r="D26">
        <v>25</v>
      </c>
      <c r="E26" s="147">
        <f>D26/360</f>
        <v>6.9444444444444448E-2</v>
      </c>
      <c r="F26" s="149">
        <f>B26*C26*E26</f>
        <v>9.1851944444444467</v>
      </c>
      <c r="H26" s="148">
        <v>2000</v>
      </c>
      <c r="I26" s="167">
        <f>H26-F26</f>
        <v>1990.8148055555555</v>
      </c>
    </row>
    <row r="27" spans="1:9" x14ac:dyDescent="0.2">
      <c r="B27" s="166">
        <f>B26-I26</f>
        <v>1315.8551944444446</v>
      </c>
      <c r="C27" s="141">
        <v>0.04</v>
      </c>
      <c r="D27">
        <v>20</v>
      </c>
      <c r="E27" s="147">
        <f>D27/360</f>
        <v>5.5555555555555552E-2</v>
      </c>
      <c r="F27" s="149">
        <f>B27*C27*E27</f>
        <v>2.9241226543209877</v>
      </c>
      <c r="G27" s="149">
        <v>1318.78</v>
      </c>
    </row>
    <row r="28" spans="1:9" x14ac:dyDescent="0.2">
      <c r="C28" s="141"/>
      <c r="E28" s="147"/>
    </row>
    <row r="29" spans="1:9" x14ac:dyDescent="0.2">
      <c r="B29" s="137" t="s">
        <v>20</v>
      </c>
      <c r="C29" s="137"/>
    </row>
    <row r="30" spans="1:9" x14ac:dyDescent="0.2">
      <c r="B30" s="137" t="s">
        <v>98</v>
      </c>
      <c r="C30" s="137"/>
      <c r="D30" s="137"/>
      <c r="E30" s="137"/>
      <c r="F30" s="137"/>
    </row>
    <row r="31" spans="1:9" x14ac:dyDescent="0.2">
      <c r="B31" s="138" t="s">
        <v>111</v>
      </c>
      <c r="C31" s="138" t="s">
        <v>6</v>
      </c>
      <c r="D31" s="138" t="s">
        <v>108</v>
      </c>
      <c r="F31" s="165"/>
    </row>
    <row r="32" spans="1:9" x14ac:dyDescent="0.2">
      <c r="B32" s="138" t="s">
        <v>110</v>
      </c>
      <c r="C32" s="138"/>
      <c r="D32" s="139" t="s">
        <v>109</v>
      </c>
      <c r="E32" s="139"/>
      <c r="F32" s="139"/>
      <c r="G32" s="139"/>
      <c r="H32" s="138"/>
    </row>
    <row r="33" spans="1:12" x14ac:dyDescent="0.2">
      <c r="A33" s="135" t="s">
        <v>100</v>
      </c>
    </row>
    <row r="34" spans="1:12" x14ac:dyDescent="0.2">
      <c r="A34">
        <v>1</v>
      </c>
      <c r="B34" s="144" t="s">
        <v>99</v>
      </c>
      <c r="C34" s="136" t="s">
        <v>26</v>
      </c>
      <c r="D34" s="144" t="s">
        <v>92</v>
      </c>
      <c r="E34" s="144" t="s">
        <v>91</v>
      </c>
      <c r="F34" s="144" t="s">
        <v>43</v>
      </c>
      <c r="G34" s="144" t="s">
        <v>28</v>
      </c>
      <c r="H34" s="144" t="s">
        <v>74</v>
      </c>
    </row>
    <row r="35" spans="1:12" x14ac:dyDescent="0.2">
      <c r="B35" s="148">
        <v>14000</v>
      </c>
      <c r="C35" s="160">
        <v>4.4999999999999998E-2</v>
      </c>
      <c r="D35">
        <v>60</v>
      </c>
      <c r="E35" s="146">
        <f>D35/360</f>
        <v>0.16666666666666666</v>
      </c>
      <c r="F35" s="149">
        <f>B35*C35*E35</f>
        <v>105</v>
      </c>
      <c r="G35" s="168">
        <f>B35-F35</f>
        <v>13895</v>
      </c>
      <c r="H35" s="172">
        <f>F35/(G35*E35)</f>
        <v>4.5340050377833757E-2</v>
      </c>
    </row>
    <row r="37" spans="1:12" x14ac:dyDescent="0.2">
      <c r="A37">
        <v>2</v>
      </c>
      <c r="B37" s="144" t="s">
        <v>99</v>
      </c>
      <c r="C37" s="144" t="s">
        <v>26</v>
      </c>
      <c r="D37" s="144" t="s">
        <v>101</v>
      </c>
      <c r="E37" s="144" t="s">
        <v>91</v>
      </c>
      <c r="F37" s="144" t="s">
        <v>43</v>
      </c>
      <c r="G37" s="144" t="s">
        <v>28</v>
      </c>
      <c r="H37" s="144" t="s">
        <v>74</v>
      </c>
    </row>
    <row r="38" spans="1:12" x14ac:dyDescent="0.2">
      <c r="B38" s="148">
        <v>10000</v>
      </c>
      <c r="C38" s="141">
        <v>0.04</v>
      </c>
      <c r="D38">
        <v>13</v>
      </c>
      <c r="E38">
        <f>D38/52</f>
        <v>0.25</v>
      </c>
      <c r="F38" s="149">
        <f>B38*C38*E38</f>
        <v>100</v>
      </c>
      <c r="G38" s="174">
        <f>B38-F38</f>
        <v>9900</v>
      </c>
      <c r="H38" s="173">
        <f>F38/(G38*E38)</f>
        <v>4.0404040404040407E-2</v>
      </c>
    </row>
    <row r="40" spans="1:12" x14ac:dyDescent="0.2">
      <c r="B40" s="137" t="s">
        <v>102</v>
      </c>
      <c r="C40" s="137"/>
      <c r="D40" s="137"/>
      <c r="E40" s="137"/>
      <c r="F40" s="137"/>
      <c r="G40" s="137"/>
    </row>
    <row r="41" spans="1:12" x14ac:dyDescent="0.2">
      <c r="A41" s="135" t="s">
        <v>103</v>
      </c>
    </row>
    <row r="42" spans="1:12" x14ac:dyDescent="0.2">
      <c r="A42" s="135"/>
      <c r="B42" s="140" t="s">
        <v>1</v>
      </c>
      <c r="C42" s="144" t="s">
        <v>2</v>
      </c>
      <c r="D42" s="144" t="s">
        <v>44</v>
      </c>
      <c r="E42" s="144" t="s">
        <v>3</v>
      </c>
      <c r="F42" s="144" t="s">
        <v>49</v>
      </c>
      <c r="G42" s="144" t="s">
        <v>104</v>
      </c>
      <c r="H42" s="144" t="s">
        <v>44</v>
      </c>
      <c r="I42" s="144" t="s">
        <v>3</v>
      </c>
      <c r="J42" s="144" t="s">
        <v>26</v>
      </c>
      <c r="K42" s="144" t="s">
        <v>29</v>
      </c>
      <c r="L42" s="144" t="s">
        <v>28</v>
      </c>
    </row>
    <row r="43" spans="1:12" x14ac:dyDescent="0.2">
      <c r="B43" s="177">
        <v>40000</v>
      </c>
      <c r="C43" s="175">
        <v>0.05</v>
      </c>
      <c r="D43" s="159">
        <v>170</v>
      </c>
      <c r="E43" s="176">
        <f>D43/360</f>
        <v>0.47222222222222221</v>
      </c>
      <c r="F43" s="180">
        <f>B43*C43*E43</f>
        <v>944.44444444444446</v>
      </c>
      <c r="G43" s="179">
        <f>B43+F43</f>
        <v>40944.444444444445</v>
      </c>
      <c r="H43" s="178">
        <f>D43-C47</f>
        <v>109</v>
      </c>
      <c r="I43" s="176">
        <f>H43/360</f>
        <v>0.30277777777777776</v>
      </c>
      <c r="J43" s="175">
        <v>0.02</v>
      </c>
      <c r="K43" s="150">
        <f>G43*I43*J43</f>
        <v>247.94135802469137</v>
      </c>
      <c r="L43" s="168">
        <f>B43-K43</f>
        <v>39752.058641975309</v>
      </c>
    </row>
    <row r="45" spans="1:12" x14ac:dyDescent="0.2">
      <c r="B45" s="142">
        <v>43261</v>
      </c>
      <c r="C45">
        <v>161</v>
      </c>
    </row>
    <row r="46" spans="1:12" x14ac:dyDescent="0.2">
      <c r="B46" s="143">
        <v>43200</v>
      </c>
      <c r="C46">
        <v>100</v>
      </c>
      <c r="E46" s="139" t="s">
        <v>106</v>
      </c>
      <c r="F46" s="139"/>
      <c r="G46" s="139"/>
      <c r="H46">
        <f>D43-C47</f>
        <v>109</v>
      </c>
    </row>
    <row r="47" spans="1:12" x14ac:dyDescent="0.2">
      <c r="B47" s="138" t="s">
        <v>105</v>
      </c>
      <c r="C47">
        <f>C45-C46</f>
        <v>61</v>
      </c>
    </row>
  </sheetData>
  <mergeCells count="12">
    <mergeCell ref="B23:E23"/>
    <mergeCell ref="F23:I23"/>
    <mergeCell ref="B30:F30"/>
    <mergeCell ref="B29:C29"/>
    <mergeCell ref="B40:G40"/>
    <mergeCell ref="E46:G46"/>
    <mergeCell ref="D32:G32"/>
    <mergeCell ref="B1:C1"/>
    <mergeCell ref="B4:E4"/>
    <mergeCell ref="B9:D9"/>
    <mergeCell ref="B14:E14"/>
    <mergeCell ref="B22:E22"/>
  </mergeCells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simple_interest</vt:lpstr>
      <vt:lpstr>simple_discount</vt:lpstr>
      <vt:lpstr>exercises</vt:lpstr>
    </vt:vector>
  </TitlesOfParts>
  <Company>BMCC / CUNY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 Hong</dc:creator>
  <cp:lastModifiedBy>Gakure...G...</cp:lastModifiedBy>
  <dcterms:created xsi:type="dcterms:W3CDTF">2004-04-15T17:18:25Z</dcterms:created>
  <dcterms:modified xsi:type="dcterms:W3CDTF">2018-02-22T12:21:42Z</dcterms:modified>
</cp:coreProperties>
</file>