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19200" windowHeight="7032" activeTab="9"/>
  </bookViews>
  <sheets>
    <sheet name="I" sheetId="1" r:id="rId1"/>
    <sheet name="II" sheetId="2" r:id="rId2"/>
    <sheet name="III" sheetId="3" r:id="rId3"/>
    <sheet name="IV" sheetId="4" r:id="rId4"/>
    <sheet name="V" sheetId="5" r:id="rId5"/>
    <sheet name="VI" sheetId="6" r:id="rId6"/>
    <sheet name="VII" sheetId="8" r:id="rId7"/>
    <sheet name="VIII" sheetId="9" r:id="rId8"/>
    <sheet name="IX" sheetId="10" r:id="rId9"/>
    <sheet name="X" sheetId="11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0" i="11" l="1"/>
  <c r="B12" i="10"/>
  <c r="B5" i="10"/>
  <c r="B10" i="10"/>
  <c r="B11" i="5"/>
  <c r="I16" i="9"/>
  <c r="I15" i="9"/>
  <c r="I13" i="9"/>
  <c r="F15" i="9"/>
  <c r="F13" i="9"/>
  <c r="B16" i="9"/>
  <c r="B14" i="9"/>
  <c r="B11" i="9"/>
  <c r="B7" i="9"/>
  <c r="B6" i="9"/>
  <c r="B5" i="9"/>
  <c r="B5" i="8"/>
  <c r="F2" i="8" s="1"/>
  <c r="G22" i="6"/>
  <c r="D22" i="6"/>
  <c r="L20" i="6" a="1"/>
  <c r="L20" i="6" s="1"/>
  <c r="E18" i="6"/>
  <c r="C17" i="6"/>
  <c r="B9" i="5" l="1"/>
  <c r="B5" i="5"/>
  <c r="B8" i="4" l="1"/>
  <c r="B6" i="4"/>
  <c r="B5" i="4"/>
  <c r="E15" i="3"/>
  <c r="E14" i="3"/>
  <c r="E6" i="3"/>
  <c r="E12" i="3"/>
  <c r="E9" i="3"/>
  <c r="E10" i="3"/>
  <c r="E11" i="3"/>
  <c r="E8" i="3"/>
  <c r="E4" i="3"/>
  <c r="B4" i="3"/>
  <c r="B16" i="3"/>
  <c r="B17" i="3" s="1"/>
  <c r="B7" i="3"/>
  <c r="B8" i="3"/>
  <c r="B9" i="3"/>
  <c r="B10" i="3"/>
  <c r="B11" i="3"/>
  <c r="B12" i="3"/>
  <c r="B13" i="3"/>
  <c r="B14" i="3"/>
  <c r="B15" i="3"/>
  <c r="B6" i="3"/>
  <c r="B13" i="2"/>
  <c r="E12" i="2"/>
  <c r="E11" i="2"/>
  <c r="B12" i="2"/>
  <c r="B11" i="2"/>
  <c r="B11" i="1"/>
  <c r="B10" i="1"/>
  <c r="B9" i="1"/>
  <c r="B7" i="1"/>
  <c r="M24" i="6"/>
  <c r="L24" i="6"/>
  <c r="M23" i="6"/>
  <c r="L23" i="6"/>
  <c r="M22" i="6"/>
  <c r="L22" i="6"/>
  <c r="M21" i="6"/>
  <c r="L21" i="6"/>
  <c r="M20" i="6"/>
</calcChain>
</file>

<file path=xl/metadata.xml><?xml version="1.0" encoding="utf-8"?>
<metadata xmlns="http://schemas.openxmlformats.org/spreadsheetml/2006/main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xmlns:xda="http://schemas.microsoft.com/office/spreadsheetml/2017/dynamicarray"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<sst xmlns="http://schemas.openxmlformats.org/spreadsheetml/2006/main" count="205" uniqueCount="163">
  <si>
    <t>15 - 19</t>
  </si>
  <si>
    <t>20 - 24</t>
  </si>
  <si>
    <t>25 - 29</t>
  </si>
  <si>
    <t>30 - 34</t>
  </si>
  <si>
    <t>35 - 39</t>
  </si>
  <si>
    <t xml:space="preserve">Age of students </t>
  </si>
  <si>
    <t>No. of students</t>
  </si>
  <si>
    <t>Total</t>
  </si>
  <si>
    <t>a.</t>
  </si>
  <si>
    <t>* 20% of the students in the sample are younger than 20 years of age.</t>
  </si>
  <si>
    <t>b.</t>
  </si>
  <si>
    <t>* 22.2% of the students are at least 30 years of age.</t>
  </si>
  <si>
    <t xml:space="preserve">c. </t>
  </si>
  <si>
    <t>* 44.4% of the students are younger than 25 years of age.</t>
  </si>
  <si>
    <t>Student</t>
  </si>
  <si>
    <t>Time (min)</t>
  </si>
  <si>
    <t>b</t>
  </si>
  <si>
    <t>a. mean</t>
  </si>
  <si>
    <t>b. median</t>
  </si>
  <si>
    <t>c. IQR</t>
  </si>
  <si>
    <t>Q1</t>
  </si>
  <si>
    <t>Q3</t>
  </si>
  <si>
    <t>Probability</t>
  </si>
  <si>
    <t>n</t>
  </si>
  <si>
    <t>* The mean is 46 min, the median is 44 min, and the interquartile range is 12.25 min.</t>
  </si>
  <si>
    <t>P</t>
  </si>
  <si>
    <t>X</t>
  </si>
  <si>
    <t>a. P(X&gt;=6)</t>
  </si>
  <si>
    <t>P(X &gt;= 6)</t>
  </si>
  <si>
    <t>c. P(X&gt;=15)</t>
  </si>
  <si>
    <t>b. P(X=5)</t>
  </si>
  <si>
    <t>P(X&gt;=15)</t>
  </si>
  <si>
    <t>d. Expected</t>
  </si>
  <si>
    <t>SD</t>
  </si>
  <si>
    <t>a. The probability that at least 6 will be accepted is 98.56%.</t>
  </si>
  <si>
    <t>b. The probability that only 5 will be accepted is 0.023%</t>
  </si>
  <si>
    <t>c. The probability that 15 or more will be accepted is 16.46%.</t>
  </si>
  <si>
    <t>d. The expected number of students accepted is 13 (12.6), with a standard deviation of 3.78.</t>
  </si>
  <si>
    <t>Ave. yearly income</t>
  </si>
  <si>
    <t>sd</t>
  </si>
  <si>
    <t>Standard deviation</t>
  </si>
  <si>
    <t>Confidence level</t>
  </si>
  <si>
    <t>Standard error</t>
  </si>
  <si>
    <t>significance level</t>
  </si>
  <si>
    <t>Z</t>
  </si>
  <si>
    <t>Margin of error</t>
  </si>
  <si>
    <t>* The confidence interval at 95% confidence for the average yearly income of the</t>
  </si>
  <si>
    <t>pilots is 99400 ± 2522.</t>
  </si>
  <si>
    <t>mean</t>
  </si>
  <si>
    <t>mean content</t>
  </si>
  <si>
    <t>standard dev</t>
  </si>
  <si>
    <t>μ</t>
  </si>
  <si>
    <t>df</t>
  </si>
  <si>
    <t>tcalc</t>
  </si>
  <si>
    <t>Ho: x̄ - μ = 0; the machine is in perfect calibration.</t>
  </si>
  <si>
    <t>Ha: x̄ - μ ≠ 0, where x̄ &lt; μ; the machine needs adjustment, since output is less than expected.</t>
  </si>
  <si>
    <t>tcrit 0.95</t>
  </si>
  <si>
    <t>p-value</t>
  </si>
  <si>
    <t>since p-value &lt; 0.05, reject Ho.</t>
  </si>
  <si>
    <t>* At 95% confidence, we reject the null hypothesis. The output of the machine is less than expected. Machine needs calibration.</t>
  </si>
  <si>
    <t>Daily demand</t>
  </si>
  <si>
    <t>Price</t>
  </si>
  <si>
    <t>a. The independent variable is the unit price.</t>
  </si>
  <si>
    <t>The dependent variable is the daily demand.</t>
  </si>
  <si>
    <t>SUMMARY OUTPUT</t>
  </si>
  <si>
    <t>Regression Statistics</t>
  </si>
  <si>
    <t>Multiple R</t>
  </si>
  <si>
    <t>R Square</t>
  </si>
  <si>
    <t>Adjusted R Square</t>
  </si>
  <si>
    <t>Standard Error</t>
  </si>
  <si>
    <t>Observations</t>
  </si>
  <si>
    <t>ANOVA</t>
  </si>
  <si>
    <t>Regression</t>
  </si>
  <si>
    <t>Residual</t>
  </si>
  <si>
    <t>Intercept</t>
  </si>
  <si>
    <t>SS</t>
  </si>
  <si>
    <t>MS</t>
  </si>
  <si>
    <t>F</t>
  </si>
  <si>
    <t>Significance F</t>
  </si>
  <si>
    <t>Coefficients</t>
  </si>
  <si>
    <t>t Stat</t>
  </si>
  <si>
    <t>P-value</t>
  </si>
  <si>
    <t>Lower 95%</t>
  </si>
  <si>
    <t>Upper 95%</t>
  </si>
  <si>
    <t>Lower 95.0%</t>
  </si>
  <si>
    <t>Upper 95.0%</t>
  </si>
  <si>
    <t>X Variable 1</t>
  </si>
  <si>
    <t>b. We use the F-test to determine the significance of the model.</t>
  </si>
  <si>
    <t>Ho: b1 = 0;</t>
  </si>
  <si>
    <r>
      <t xml:space="preserve">Ha: b1 </t>
    </r>
    <r>
      <rPr>
        <sz val="11"/>
        <color theme="1"/>
        <rFont val="Calibri"/>
        <family val="2"/>
      </rPr>
      <t>≠ 0</t>
    </r>
  </si>
  <si>
    <t>Ho: b1 = 0; the fit of the model is not significant.</t>
  </si>
  <si>
    <r>
      <t xml:space="preserve">Ha: b1 </t>
    </r>
    <r>
      <rPr>
        <sz val="11"/>
        <color theme="1"/>
        <rFont val="Calibri"/>
        <family val="2"/>
      </rPr>
      <t>≠ 0</t>
    </r>
    <r>
      <rPr>
        <sz val="11"/>
        <color theme="1"/>
        <rFont val="Calibri"/>
        <family val="2"/>
        <scheme val="minor"/>
      </rPr>
      <t>; the regression model is significant.</t>
    </r>
  </si>
  <si>
    <t>Fcalc</t>
  </si>
  <si>
    <t>Fcrit 0.95</t>
  </si>
  <si>
    <t>since Fcalc &lt; Fcrit, accept Ho.</t>
  </si>
  <si>
    <t>p-value &gt; 0.05, accept Ho</t>
  </si>
  <si>
    <t>* At 95% confidence, the regression model is not significant.</t>
  </si>
  <si>
    <t>c. We test for significance of the slope with respect to 0.</t>
  </si>
  <si>
    <t>m</t>
  </si>
  <si>
    <t>S-slope</t>
  </si>
  <si>
    <t>r^2</t>
  </si>
  <si>
    <t>SSR</t>
  </si>
  <si>
    <t>S-intercept</t>
  </si>
  <si>
    <t>Sy/x</t>
  </si>
  <si>
    <t>SSE</t>
  </si>
  <si>
    <t>since p-value &lt; 0.5, reject Ho.</t>
  </si>
  <si>
    <t>* At 95% confidence, the slope is significantly different from 0.</t>
  </si>
  <si>
    <t>Probability to pass A</t>
  </si>
  <si>
    <t>Probability to pass B</t>
  </si>
  <si>
    <t>Probability to pass A &amp; B</t>
  </si>
  <si>
    <t>Probability to pass at least 1</t>
  </si>
  <si>
    <t>A ∪ B</t>
  </si>
  <si>
    <t>A ∩ B</t>
  </si>
  <si>
    <t>A</t>
  </si>
  <si>
    <t>B</t>
  </si>
  <si>
    <t>a. The probability to pass B is 0.422.</t>
  </si>
  <si>
    <t>This is because for them to be independent, P(A ∩ B) should be equal to zero.</t>
  </si>
  <si>
    <r>
      <t xml:space="preserve">However, in this case, P(A ∩ B) </t>
    </r>
    <r>
      <rPr>
        <sz val="11"/>
        <color theme="1"/>
        <rFont val="Calibri"/>
        <family val="2"/>
      </rPr>
      <t>≠ 0.</t>
    </r>
  </si>
  <si>
    <t>c. The passing of the two courses are not mutually exclusive events or independent events.</t>
  </si>
  <si>
    <t>P(A)P(B)</t>
  </si>
  <si>
    <t>b. The passing of both course A and the passing of course B are independent events.</t>
  </si>
  <si>
    <t>This is because the P(A) &gt; 0 and the P(B)&gt; 0.</t>
  </si>
  <si>
    <t>Zcalc</t>
  </si>
  <si>
    <t>1-P(Z&lt;=1.5)</t>
  </si>
  <si>
    <t>P(X&lt;=71)</t>
  </si>
  <si>
    <t>P(X&gt;71)</t>
  </si>
  <si>
    <t>a. The probability that a randomly selected exam will have a score of at least 71 is 0.9332.</t>
  </si>
  <si>
    <t>P(89 &lt; X &lt;=92)</t>
  </si>
  <si>
    <t>P(X&lt;=92)</t>
  </si>
  <si>
    <t>P(Z&lt;=2)</t>
  </si>
  <si>
    <t>P(&lt;=89)</t>
  </si>
  <si>
    <t>P(Z&lt;=1.5)</t>
  </si>
  <si>
    <t>b. The percentage of exams that will have scores between 89 and 92 is 4.4%.</t>
  </si>
  <si>
    <t>1-P(Z&lt;=x)</t>
  </si>
  <si>
    <t>P(Z&lt;=x)</t>
  </si>
  <si>
    <t>x</t>
  </si>
  <si>
    <t>lowest score</t>
  </si>
  <si>
    <t>c. The lowest score eligible for an award is 91.76.</t>
  </si>
  <si>
    <t xml:space="preserve">d. </t>
  </si>
  <si>
    <t>P(X&lt;=89)</t>
  </si>
  <si>
    <t>P(X&gt;89)</t>
  </si>
  <si>
    <t>d. 5000 students took the national statistics exam.</t>
  </si>
  <si>
    <t>x-bar</t>
  </si>
  <si>
    <t>Ho: x̄ - μ = 0; the average grade on the statistics finals is 87.</t>
  </si>
  <si>
    <t>Ha: x̄ - μ ≠ 0, where x̄ &lt; μ; the average grade is less than the expected value</t>
  </si>
  <si>
    <t>since tcalc &lt; tcrit, reject Ho.</t>
  </si>
  <si>
    <t>since p-value &gt; 0.05, reject Ho.</t>
  </si>
  <si>
    <t>* At 95% confidence, we reject Ho. There is significant evidence to the student's claim that 87 is the average grade on the finals.</t>
  </si>
  <si>
    <t>Day</t>
  </si>
  <si>
    <t>(y)</t>
  </si>
  <si>
    <t>(x1)</t>
  </si>
  <si>
    <t>(x2)</t>
  </si>
  <si>
    <t>a. The regression model equation is y=118.506 -0.0163x1 -1.5726x2</t>
  </si>
  <si>
    <t>Ho: b1 =b2 = 0;</t>
  </si>
  <si>
    <r>
      <t xml:space="preserve">Ha: bi </t>
    </r>
    <r>
      <rPr>
        <sz val="11"/>
        <color theme="1"/>
        <rFont val="Calibri"/>
        <family val="2"/>
      </rPr>
      <t>≠ 0, where i=1 or 2</t>
    </r>
  </si>
  <si>
    <t>since p-value for b1 &gt; 0.05, accept null hypothesis</t>
  </si>
  <si>
    <t>since p-value for b2 &lt; 0.05, reject Ho.</t>
  </si>
  <si>
    <t>* At 95% confidence, the coefficient b2 is significantly different from 0.</t>
  </si>
  <si>
    <t>c. At 95% confidence:</t>
  </si>
  <si>
    <t>b. Both the coefficients are negative, which illustrates an inverse relationship between y and x1 and y and x2.</t>
  </si>
  <si>
    <t>* At 95% confidence, the coefficient b1 is not significantly different from 0. x1 has no significant effect on y.</t>
  </si>
  <si>
    <t>price of stock</t>
  </si>
  <si>
    <t>* The price of the Rawlston stock is expected to be 77.9.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</si>
</sst>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1"/>
      <color theme="1"/>
      <name val="Calibri"/>
      <family val="2"/>
    </font>
    <font>
      <i/>
      <sz val="11"/>
      <color theme="1"/>
      <name val="Calibri"/>
      <family val="2"/>
      <scheme val="minor"/>
    </font>
    <font>
      <u/>
      <sz val="12"/>
      <color rgb="FF000000"/>
      <name val="Times New Roman"/>
      <family val="1"/>
    </font>
    <font>
      <sz val="12"/>
      <color rgb="FF000000"/>
      <name val="Times New Roman"/>
      <family val="1"/>
    </font>
    <font>
      <i/>
      <sz val="12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/>
    <xf numFmtId="0" fontId="1" fillId="0" borderId="0" xfId="0" applyFont="1" applyAlignment="1">
      <alignment vertical="center"/>
    </xf>
    <xf numFmtId="0" fontId="0" fillId="2" borderId="0" xfId="0" applyFill="1" applyAlignment="1"/>
    <xf numFmtId="0" fontId="0" fillId="0" borderId="0" xfId="0" applyFill="1" applyAlignment="1"/>
    <xf numFmtId="0" fontId="1" fillId="0" borderId="0" xfId="0" applyFont="1" applyAlignment="1">
      <alignment horizontal="center" vertical="center" wrapText="1"/>
    </xf>
    <xf numFmtId="0" fontId="0" fillId="2" borderId="0" xfId="0" applyFill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0" applyFont="1"/>
    <xf numFmtId="0" fontId="0" fillId="0" borderId="0" xfId="0" applyFill="1" applyBorder="1" applyAlignment="1"/>
    <xf numFmtId="0" fontId="0" fillId="0" borderId="1" xfId="0" applyFill="1" applyBorder="1" applyAlignment="1"/>
    <xf numFmtId="0" fontId="3" fillId="0" borderId="2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Continuous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eetMetadata" Target="metadata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v>Daily demand vs Price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-0.46749431321084867"/>
                  <c:y val="-1.7151501895596383E-3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VI!$B$2:$B$9</c:f>
              <c:numCache>
                <c:formatCode>General</c:formatCode>
                <c:ptCount val="8"/>
                <c:pt idx="0">
                  <c:v>2</c:v>
                </c:pt>
                <c:pt idx="1">
                  <c:v>4</c:v>
                </c:pt>
                <c:pt idx="2">
                  <c:v>8</c:v>
                </c:pt>
                <c:pt idx="3">
                  <c:v>5</c:v>
                </c:pt>
                <c:pt idx="4">
                  <c:v>7</c:v>
                </c:pt>
                <c:pt idx="5">
                  <c:v>8</c:v>
                </c:pt>
                <c:pt idx="6">
                  <c:v>9</c:v>
                </c:pt>
                <c:pt idx="7">
                  <c:v>6</c:v>
                </c:pt>
              </c:numCache>
            </c:numRef>
          </c:xVal>
          <c:yVal>
            <c:numRef>
              <c:f>VI!$A$2:$A$9</c:f>
              <c:numCache>
                <c:formatCode>General</c:formatCode>
                <c:ptCount val="8"/>
                <c:pt idx="0">
                  <c:v>5</c:v>
                </c:pt>
                <c:pt idx="1">
                  <c:v>7</c:v>
                </c:pt>
                <c:pt idx="2">
                  <c:v>9</c:v>
                </c:pt>
                <c:pt idx="3">
                  <c:v>12</c:v>
                </c:pt>
                <c:pt idx="4">
                  <c:v>10</c:v>
                </c:pt>
                <c:pt idx="5">
                  <c:v>13</c:v>
                </c:pt>
                <c:pt idx="6">
                  <c:v>16</c:v>
                </c:pt>
                <c:pt idx="7">
                  <c:v>16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E21E-484F-90A2-2A8FABBFA3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75791072"/>
        <c:axId val="1975787328"/>
      </c:scatterChart>
      <c:valAx>
        <c:axId val="197579107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75787328"/>
        <c:crosses val="autoZero"/>
        <c:crossBetween val="midCat"/>
      </c:valAx>
      <c:valAx>
        <c:axId val="19757873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7579107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76200</xdr:colOff>
      <xdr:row>1</xdr:row>
      <xdr:rowOff>138112</xdr:rowOff>
    </xdr:from>
    <xdr:to>
      <xdr:col>14</xdr:col>
      <xdr:colOff>381000</xdr:colOff>
      <xdr:row>16</xdr:row>
      <xdr:rowOff>23812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4489A92-04CB-4524-884B-C79ED361518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workbookViewId="0">
      <selection activeCell="A13" sqref="A13"/>
    </sheetView>
  </sheetViews>
  <sheetFormatPr defaultColWidth="9.109375" defaultRowHeight="14.4" x14ac:dyDescent="0.3"/>
  <cols>
    <col min="1" max="1" width="15.33203125" style="1" customWidth="1"/>
    <col min="2" max="2" width="16.5546875" style="1" customWidth="1"/>
    <col min="3" max="16384" width="9.109375" style="1"/>
  </cols>
  <sheetData>
    <row r="1" spans="1:9" ht="15.75" customHeight="1" x14ac:dyDescent="0.3">
      <c r="A1" s="1" t="s">
        <v>5</v>
      </c>
      <c r="B1" s="1" t="s">
        <v>6</v>
      </c>
    </row>
    <row r="2" spans="1:9" x14ac:dyDescent="0.3">
      <c r="A2" s="2" t="s">
        <v>0</v>
      </c>
      <c r="B2" s="2">
        <v>36</v>
      </c>
    </row>
    <row r="3" spans="1:9" x14ac:dyDescent="0.3">
      <c r="A3" s="2" t="s">
        <v>1</v>
      </c>
      <c r="B3" s="2">
        <v>44</v>
      </c>
    </row>
    <row r="4" spans="1:9" x14ac:dyDescent="0.3">
      <c r="A4" s="2" t="s">
        <v>2</v>
      </c>
      <c r="B4" s="2">
        <v>60</v>
      </c>
    </row>
    <row r="5" spans="1:9" x14ac:dyDescent="0.3">
      <c r="A5" s="2" t="s">
        <v>3</v>
      </c>
      <c r="B5" s="2">
        <v>38</v>
      </c>
    </row>
    <row r="6" spans="1:9" x14ac:dyDescent="0.3">
      <c r="A6" s="2" t="s">
        <v>4</v>
      </c>
      <c r="B6" s="2">
        <v>2</v>
      </c>
    </row>
    <row r="7" spans="1:9" x14ac:dyDescent="0.3">
      <c r="A7" s="2" t="s">
        <v>7</v>
      </c>
      <c r="B7" s="2">
        <f>SUM(B2:B6)</f>
        <v>180</v>
      </c>
    </row>
    <row r="9" spans="1:9" x14ac:dyDescent="0.3">
      <c r="A9" s="3" t="s">
        <v>8</v>
      </c>
      <c r="B9" s="3">
        <f>(B2/B7)*100</f>
        <v>20</v>
      </c>
      <c r="C9" s="3" t="s">
        <v>9</v>
      </c>
      <c r="D9" s="3"/>
      <c r="E9" s="3"/>
      <c r="F9" s="3"/>
      <c r="G9" s="3"/>
      <c r="H9" s="3"/>
      <c r="I9" s="3"/>
    </row>
    <row r="10" spans="1:9" x14ac:dyDescent="0.3">
      <c r="A10" s="3" t="s">
        <v>10</v>
      </c>
      <c r="B10" s="3">
        <f>((B5+B6)/B7)*100</f>
        <v>22.222222222222221</v>
      </c>
      <c r="C10" s="3" t="s">
        <v>11</v>
      </c>
      <c r="D10" s="3"/>
      <c r="E10" s="3"/>
      <c r="F10" s="3"/>
      <c r="G10" s="3"/>
      <c r="H10" s="3"/>
      <c r="I10" s="3"/>
    </row>
    <row r="11" spans="1:9" x14ac:dyDescent="0.3">
      <c r="A11" s="3" t="s">
        <v>12</v>
      </c>
      <c r="B11" s="3">
        <f>((B3+B2)/B7)*100</f>
        <v>44.444444444444443</v>
      </c>
      <c r="C11" s="3" t="s">
        <v>13</v>
      </c>
      <c r="D11" s="3"/>
      <c r="E11" s="3"/>
      <c r="F11" s="3"/>
      <c r="G11" s="3"/>
      <c r="H11" s="3"/>
      <c r="I11" s="3"/>
    </row>
    <row r="12" spans="1:9" x14ac:dyDescent="0.3">
      <c r="A12" s="4"/>
      <c r="B12" s="4"/>
      <c r="C12" s="4"/>
      <c r="D12" s="4"/>
      <c r="E12" s="4"/>
      <c r="F12" s="4"/>
      <c r="G12" s="4"/>
      <c r="H12" s="4"/>
      <c r="I12" s="4"/>
    </row>
    <row r="13" spans="1:9" x14ac:dyDescent="0.3">
      <c r="A13" s="4"/>
      <c r="B13" s="4"/>
      <c r="C13" s="4"/>
      <c r="D13" s="4"/>
      <c r="E13" s="4"/>
      <c r="F13" s="4"/>
      <c r="G13" s="4"/>
      <c r="H13" s="4"/>
      <c r="I13" s="4"/>
    </row>
    <row r="14" spans="1:9" x14ac:dyDescent="0.3">
      <c r="A14" s="4"/>
      <c r="B14" s="4"/>
      <c r="C14" s="4"/>
      <c r="D14" s="4"/>
      <c r="E14" s="4"/>
      <c r="F14" s="4"/>
      <c r="G14" s="4"/>
      <c r="H14" s="4"/>
      <c r="I14" s="4"/>
    </row>
    <row r="15" spans="1:9" x14ac:dyDescent="0.3">
      <c r="A15" s="4"/>
      <c r="B15" s="4"/>
      <c r="C15" s="4"/>
      <c r="D15" s="4"/>
      <c r="E15" s="4"/>
      <c r="F15" s="4"/>
      <c r="G15" s="4"/>
      <c r="H15" s="4"/>
      <c r="I15" s="4"/>
    </row>
    <row r="16" spans="1:9" x14ac:dyDescent="0.3">
      <c r="A16" s="4"/>
      <c r="B16" s="4"/>
      <c r="C16" s="4"/>
      <c r="D16" s="4"/>
      <c r="E16" s="4"/>
      <c r="F16" s="4"/>
      <c r="G16" s="4"/>
      <c r="H16" s="4"/>
      <c r="I16" s="4"/>
    </row>
    <row r="17" spans="1:9" x14ac:dyDescent="0.3">
      <c r="A17" s="4"/>
      <c r="B17" s="4"/>
      <c r="C17" s="4"/>
      <c r="D17" s="4"/>
      <c r="E17" s="4"/>
      <c r="F17" s="4"/>
      <c r="G17" s="4"/>
      <c r="H17" s="4"/>
      <c r="I17" s="4"/>
    </row>
    <row r="18" spans="1:9" x14ac:dyDescent="0.3">
      <c r="A18" s="4"/>
      <c r="B18" s="4"/>
      <c r="C18" s="4"/>
      <c r="D18" s="4"/>
      <c r="E18" s="4"/>
      <c r="F18" s="4"/>
      <c r="G18" s="4"/>
      <c r="H18" s="4"/>
      <c r="I18" s="4"/>
    </row>
    <row r="19" spans="1:9" x14ac:dyDescent="0.3">
      <c r="A19" s="4"/>
      <c r="B19" s="4"/>
      <c r="C19" s="4"/>
      <c r="D19" s="4"/>
      <c r="E19" s="4"/>
      <c r="F19" s="4"/>
      <c r="G19" s="4"/>
      <c r="H19" s="4"/>
      <c r="I19" s="4"/>
    </row>
    <row r="20" spans="1:9" x14ac:dyDescent="0.3">
      <c r="A20" s="4"/>
      <c r="B20" s="4"/>
      <c r="C20" s="4"/>
      <c r="D20" s="4"/>
      <c r="E20" s="4"/>
      <c r="F20" s="4"/>
      <c r="G20" s="4"/>
      <c r="H20" s="4"/>
      <c r="I20" s="4"/>
    </row>
    <row r="21" spans="1:9" x14ac:dyDescent="0.3">
      <c r="A21" s="4"/>
      <c r="B21" s="4"/>
      <c r="C21" s="4"/>
      <c r="D21" s="4"/>
      <c r="E21" s="4"/>
      <c r="F21" s="4"/>
      <c r="G21" s="4"/>
      <c r="H21" s="4"/>
      <c r="I21" s="4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>
      <selection activeCell="A16" sqref="A16"/>
    </sheetView>
  </sheetViews>
  <sheetFormatPr defaultRowHeight="14.4" x14ac:dyDescent="0.3"/>
  <cols>
    <col min="1" max="1" width="10.6640625" customWidth="1"/>
    <col min="2" max="2" width="11" customWidth="1"/>
  </cols>
  <sheetData>
    <row r="1" spans="1:5" x14ac:dyDescent="0.3">
      <c r="A1" t="s">
        <v>14</v>
      </c>
      <c r="B1" t="s">
        <v>15</v>
      </c>
    </row>
    <row r="2" spans="1:5" x14ac:dyDescent="0.3">
      <c r="A2" s="5">
        <v>1</v>
      </c>
      <c r="B2" s="5">
        <v>40</v>
      </c>
    </row>
    <row r="3" spans="1:5" x14ac:dyDescent="0.3">
      <c r="A3" s="5">
        <v>2</v>
      </c>
      <c r="B3" s="5">
        <v>28</v>
      </c>
    </row>
    <row r="4" spans="1:5" x14ac:dyDescent="0.3">
      <c r="A4" s="5">
        <v>3</v>
      </c>
      <c r="B4" s="5">
        <v>71</v>
      </c>
    </row>
    <row r="5" spans="1:5" x14ac:dyDescent="0.3">
      <c r="A5" s="5">
        <v>4</v>
      </c>
      <c r="B5" s="5">
        <v>48</v>
      </c>
    </row>
    <row r="6" spans="1:5" x14ac:dyDescent="0.3">
      <c r="A6" s="5">
        <v>5</v>
      </c>
      <c r="B6" s="5">
        <v>49</v>
      </c>
    </row>
    <row r="7" spans="1:5" x14ac:dyDescent="0.3">
      <c r="A7" s="5">
        <v>6</v>
      </c>
      <c r="B7" s="5">
        <v>35</v>
      </c>
    </row>
    <row r="8" spans="1:5" x14ac:dyDescent="0.3">
      <c r="A8" s="5">
        <v>7</v>
      </c>
      <c r="B8" s="5">
        <v>40</v>
      </c>
    </row>
    <row r="9" spans="1:5" x14ac:dyDescent="0.3">
      <c r="A9" s="5">
        <v>8</v>
      </c>
      <c r="B9" s="5">
        <v>57</v>
      </c>
    </row>
    <row r="11" spans="1:5" x14ac:dyDescent="0.3">
      <c r="A11" s="6" t="s">
        <v>17</v>
      </c>
      <c r="B11" s="6">
        <f>AVERAGE(B2:B9)</f>
        <v>46</v>
      </c>
      <c r="C11" s="6"/>
      <c r="D11" s="6" t="s">
        <v>20</v>
      </c>
      <c r="E11" s="6">
        <f>QUARTILE(B2:B9,1)</f>
        <v>38.75</v>
      </c>
    </row>
    <row r="12" spans="1:5" x14ac:dyDescent="0.3">
      <c r="A12" s="6" t="s">
        <v>18</v>
      </c>
      <c r="B12" s="6">
        <f>MEDIAN(B2:B9)</f>
        <v>44</v>
      </c>
      <c r="C12" s="6"/>
      <c r="D12" s="6" t="s">
        <v>21</v>
      </c>
      <c r="E12" s="6">
        <f>QUARTILE(B2:B9,3)</f>
        <v>51</v>
      </c>
    </row>
    <row r="13" spans="1:5" x14ac:dyDescent="0.3">
      <c r="A13" s="6" t="s">
        <v>19</v>
      </c>
      <c r="B13" s="6">
        <f>E12-E11</f>
        <v>12.25</v>
      </c>
      <c r="C13" s="6"/>
      <c r="D13" s="6"/>
      <c r="E13" s="6"/>
    </row>
    <row r="14" spans="1:5" x14ac:dyDescent="0.3">
      <c r="A14" s="6"/>
      <c r="B14" s="6"/>
      <c r="C14" s="6"/>
      <c r="D14" s="6"/>
      <c r="E14" s="6"/>
    </row>
    <row r="15" spans="1:5" x14ac:dyDescent="0.3">
      <c r="A15" s="6" t="s">
        <v>24</v>
      </c>
      <c r="B15" s="6"/>
      <c r="C15" s="6"/>
      <c r="D15" s="6"/>
      <c r="E15" s="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7"/>
  <sheetViews>
    <sheetView workbookViewId="0">
      <selection activeCell="H8" sqref="H8"/>
    </sheetView>
  </sheetViews>
  <sheetFormatPr defaultRowHeight="14.4" x14ac:dyDescent="0.3"/>
  <cols>
    <col min="1" max="1" width="15.33203125" customWidth="1"/>
    <col min="4" max="4" width="13.44140625" customWidth="1"/>
  </cols>
  <sheetData>
    <row r="1" spans="1:17" x14ac:dyDescent="0.3">
      <c r="A1" t="s">
        <v>22</v>
      </c>
      <c r="B1">
        <v>0.7</v>
      </c>
    </row>
    <row r="2" spans="1:17" x14ac:dyDescent="0.3">
      <c r="A2" t="s">
        <v>23</v>
      </c>
      <c r="B2">
        <v>18</v>
      </c>
    </row>
    <row r="4" spans="1:17" x14ac:dyDescent="0.3">
      <c r="A4" t="s">
        <v>27</v>
      </c>
      <c r="B4">
        <f>B17</f>
        <v>0.98554045611921703</v>
      </c>
      <c r="D4" t="s">
        <v>30</v>
      </c>
      <c r="E4">
        <f>_xlfn.BINOM.DIST(5,B2,B1,FALSE)</f>
        <v>2.2958630011144811E-4</v>
      </c>
    </row>
    <row r="5" spans="1:17" x14ac:dyDescent="0.3">
      <c r="A5" s="7" t="s">
        <v>26</v>
      </c>
      <c r="B5" s="7" t="s">
        <v>25</v>
      </c>
      <c r="H5" s="6" t="s">
        <v>34</v>
      </c>
      <c r="I5" s="6"/>
      <c r="J5" s="6"/>
      <c r="K5" s="6"/>
      <c r="L5" s="6"/>
      <c r="M5" s="6"/>
      <c r="N5" s="6"/>
      <c r="O5" s="6"/>
      <c r="P5" s="6"/>
      <c r="Q5" s="6"/>
    </row>
    <row r="6" spans="1:17" x14ac:dyDescent="0.3">
      <c r="A6" s="7">
        <v>6</v>
      </c>
      <c r="B6">
        <f>_xlfn.BINOM.DIST(A6,B$2,B$1,FALSE)</f>
        <v>1.1606862950078786E-3</v>
      </c>
      <c r="D6" t="s">
        <v>29</v>
      </c>
      <c r="E6">
        <f>E12</f>
        <v>0.16455048193462435</v>
      </c>
      <c r="H6" s="6" t="s">
        <v>35</v>
      </c>
      <c r="I6" s="6"/>
      <c r="J6" s="6"/>
      <c r="K6" s="6"/>
      <c r="L6" s="6"/>
      <c r="M6" s="6"/>
      <c r="N6" s="6"/>
      <c r="O6" s="6"/>
      <c r="P6" s="6"/>
      <c r="Q6" s="6"/>
    </row>
    <row r="7" spans="1:17" x14ac:dyDescent="0.3">
      <c r="A7" s="7">
        <v>7</v>
      </c>
      <c r="B7">
        <f t="shared" ref="B7:B15" si="0">_xlfn.BINOM.DIST(A7,B$2,B$1,FALSE)</f>
        <v>4.6427451800315099E-3</v>
      </c>
      <c r="D7" s="7" t="s">
        <v>26</v>
      </c>
      <c r="E7" s="7" t="s">
        <v>25</v>
      </c>
      <c r="H7" s="6" t="s">
        <v>36</v>
      </c>
      <c r="I7" s="6"/>
      <c r="J7" s="6"/>
      <c r="K7" s="6"/>
      <c r="L7" s="6"/>
      <c r="M7" s="6"/>
      <c r="N7" s="6"/>
      <c r="O7" s="6"/>
      <c r="P7" s="6"/>
      <c r="Q7" s="6"/>
    </row>
    <row r="8" spans="1:17" x14ac:dyDescent="0.3">
      <c r="A8" s="7">
        <v>8</v>
      </c>
      <c r="B8">
        <f t="shared" si="0"/>
        <v>1.4895474119267763E-2</v>
      </c>
      <c r="D8" s="7">
        <v>15</v>
      </c>
      <c r="E8">
        <f>_xlfn.BINOM.DIST(D8,B$2, B$1, FALSE)</f>
        <v>0.10459827518706417</v>
      </c>
      <c r="H8" s="6" t="s">
        <v>37</v>
      </c>
      <c r="I8" s="6"/>
      <c r="J8" s="6"/>
      <c r="K8" s="6"/>
      <c r="L8" s="6"/>
      <c r="M8" s="6"/>
      <c r="N8" s="6"/>
      <c r="O8" s="6"/>
      <c r="P8" s="6"/>
      <c r="Q8" s="6"/>
    </row>
    <row r="9" spans="1:17" x14ac:dyDescent="0.3">
      <c r="A9" s="7">
        <v>9</v>
      </c>
      <c r="B9">
        <f t="shared" si="0"/>
        <v>3.8617895864768235E-2</v>
      </c>
      <c r="D9" s="7">
        <v>16</v>
      </c>
      <c r="E9">
        <f t="shared" ref="E9:E11" si="1">_xlfn.BINOM.DIST(D9,B$2, B$1, FALSE)</f>
        <v>4.576174539434056E-2</v>
      </c>
      <c r="H9" s="6"/>
      <c r="I9" s="6"/>
      <c r="J9" s="6"/>
      <c r="K9" s="6"/>
      <c r="L9" s="6"/>
      <c r="M9" s="6"/>
      <c r="N9" s="6"/>
      <c r="O9" s="6"/>
      <c r="P9" s="6"/>
      <c r="Q9" s="6"/>
    </row>
    <row r="10" spans="1:17" x14ac:dyDescent="0.3">
      <c r="A10" s="7">
        <v>10</v>
      </c>
      <c r="B10">
        <f t="shared" si="0"/>
        <v>8.1097581316013259E-2</v>
      </c>
      <c r="D10" s="7">
        <v>17</v>
      </c>
      <c r="E10">
        <f t="shared" si="1"/>
        <v>1.2562047755309173E-2</v>
      </c>
      <c r="H10" s="6"/>
      <c r="I10" s="6"/>
      <c r="J10" s="6"/>
      <c r="K10" s="6"/>
      <c r="L10" s="6"/>
      <c r="M10" s="6"/>
      <c r="N10" s="6"/>
      <c r="O10" s="6"/>
      <c r="P10" s="6"/>
      <c r="Q10" s="6"/>
    </row>
    <row r="11" spans="1:17" x14ac:dyDescent="0.3">
      <c r="A11" s="7">
        <v>11</v>
      </c>
      <c r="B11">
        <f t="shared" si="0"/>
        <v>0.13762013799081038</v>
      </c>
      <c r="D11" s="7">
        <v>18</v>
      </c>
      <c r="E11">
        <f t="shared" si="1"/>
        <v>1.6284135979104471E-3</v>
      </c>
      <c r="H11" s="6"/>
      <c r="I11" s="6"/>
      <c r="J11" s="6"/>
      <c r="K11" s="6"/>
      <c r="L11" s="6"/>
      <c r="M11" s="6"/>
      <c r="N11" s="6"/>
      <c r="O11" s="6"/>
      <c r="P11" s="6"/>
      <c r="Q11" s="6"/>
    </row>
    <row r="12" spans="1:17" x14ac:dyDescent="0.3">
      <c r="A12" s="7">
        <v>12</v>
      </c>
      <c r="B12">
        <f t="shared" si="0"/>
        <v>0.18731629893193635</v>
      </c>
      <c r="D12" s="8" t="s">
        <v>31</v>
      </c>
      <c r="E12" s="8">
        <f>SUM(E8:E11)</f>
        <v>0.16455048193462435</v>
      </c>
    </row>
    <row r="13" spans="1:17" x14ac:dyDescent="0.3">
      <c r="A13" s="7">
        <v>13</v>
      </c>
      <c r="B13">
        <f t="shared" si="0"/>
        <v>0.20172524500362374</v>
      </c>
    </row>
    <row r="14" spans="1:17" x14ac:dyDescent="0.3">
      <c r="A14" s="7">
        <v>14</v>
      </c>
      <c r="B14">
        <f t="shared" si="0"/>
        <v>0.16810437083635313</v>
      </c>
      <c r="D14" t="s">
        <v>32</v>
      </c>
      <c r="E14">
        <f>(B1*B2)</f>
        <v>12.6</v>
      </c>
    </row>
    <row r="15" spans="1:17" x14ac:dyDescent="0.3">
      <c r="A15" s="7">
        <v>15</v>
      </c>
      <c r="B15">
        <f t="shared" si="0"/>
        <v>0.10459827518706417</v>
      </c>
      <c r="D15" t="s">
        <v>33</v>
      </c>
      <c r="E15">
        <f>(B2*B1*(1-B1))</f>
        <v>3.7800000000000002</v>
      </c>
    </row>
    <row r="16" spans="1:17" x14ac:dyDescent="0.3">
      <c r="A16" s="7">
        <v>16</v>
      </c>
      <c r="B16">
        <f>_xlfn.BINOM.DIST(A16,B$2,B$1,FALSE)</f>
        <v>4.576174539434056E-2</v>
      </c>
    </row>
    <row r="17" spans="1:2" x14ac:dyDescent="0.3">
      <c r="A17" s="8" t="s">
        <v>28</v>
      </c>
      <c r="B17">
        <f>SUM(B6:B16)</f>
        <v>0.98554045611921703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workbookViewId="0">
      <selection activeCell="D1" sqref="D1"/>
    </sheetView>
  </sheetViews>
  <sheetFormatPr defaultRowHeight="14.4" x14ac:dyDescent="0.3"/>
  <cols>
    <col min="1" max="1" width="18.88671875" customWidth="1"/>
  </cols>
  <sheetData>
    <row r="1" spans="1:11" x14ac:dyDescent="0.3">
      <c r="A1" t="s">
        <v>23</v>
      </c>
      <c r="B1">
        <v>87</v>
      </c>
    </row>
    <row r="2" spans="1:11" x14ac:dyDescent="0.3">
      <c r="A2" t="s">
        <v>38</v>
      </c>
      <c r="B2">
        <v>99400</v>
      </c>
    </row>
    <row r="3" spans="1:11" x14ac:dyDescent="0.3">
      <c r="A3" t="s">
        <v>40</v>
      </c>
      <c r="B3">
        <v>12000</v>
      </c>
    </row>
    <row r="4" spans="1:11" x14ac:dyDescent="0.3">
      <c r="A4" t="s">
        <v>41</v>
      </c>
      <c r="B4">
        <v>0.95</v>
      </c>
      <c r="D4" s="6" t="s">
        <v>46</v>
      </c>
      <c r="E4" s="6"/>
      <c r="F4" s="6"/>
      <c r="G4" s="6"/>
      <c r="H4" s="6"/>
      <c r="I4" s="6"/>
      <c r="J4" s="6"/>
      <c r="K4" s="6"/>
    </row>
    <row r="5" spans="1:11" x14ac:dyDescent="0.3">
      <c r="A5" t="s">
        <v>42</v>
      </c>
      <c r="B5">
        <f>B3/SQRT(B1)</f>
        <v>1286.5350418053538</v>
      </c>
      <c r="D5" s="6" t="s">
        <v>47</v>
      </c>
      <c r="E5" s="6"/>
      <c r="F5" s="6"/>
      <c r="G5" s="6"/>
      <c r="H5" s="6"/>
      <c r="I5" s="6"/>
      <c r="J5" s="6"/>
      <c r="K5" s="6"/>
    </row>
    <row r="6" spans="1:11" x14ac:dyDescent="0.3">
      <c r="A6" t="s">
        <v>43</v>
      </c>
      <c r="B6">
        <f>1-B4</f>
        <v>5.0000000000000044E-2</v>
      </c>
      <c r="D6" s="6"/>
      <c r="E6" s="6"/>
      <c r="F6" s="6"/>
      <c r="G6" s="6"/>
      <c r="H6" s="6"/>
      <c r="I6" s="6"/>
      <c r="J6" s="6"/>
      <c r="K6" s="6"/>
    </row>
    <row r="7" spans="1:11" x14ac:dyDescent="0.3">
      <c r="A7" t="s">
        <v>44</v>
      </c>
      <c r="B7">
        <v>1.96</v>
      </c>
      <c r="D7" s="6"/>
      <c r="E7" s="6"/>
      <c r="F7" s="6"/>
      <c r="G7" s="6"/>
      <c r="H7" s="6"/>
      <c r="I7" s="6"/>
      <c r="J7" s="6"/>
      <c r="K7" s="6"/>
    </row>
    <row r="8" spans="1:11" x14ac:dyDescent="0.3">
      <c r="A8" t="s">
        <v>45</v>
      </c>
      <c r="B8">
        <f>B7*B5</f>
        <v>2521.6086819384932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workbookViewId="0">
      <selection activeCell="B11" sqref="B11"/>
    </sheetView>
  </sheetViews>
  <sheetFormatPr defaultRowHeight="14.4" x14ac:dyDescent="0.3"/>
  <cols>
    <col min="1" max="1" width="14.88671875" customWidth="1"/>
  </cols>
  <sheetData>
    <row r="1" spans="1:8" x14ac:dyDescent="0.3">
      <c r="A1" t="s">
        <v>23</v>
      </c>
      <c r="B1">
        <v>49</v>
      </c>
    </row>
    <row r="2" spans="1:8" x14ac:dyDescent="0.3">
      <c r="A2" t="s">
        <v>49</v>
      </c>
      <c r="B2">
        <v>11.88</v>
      </c>
    </row>
    <row r="3" spans="1:8" x14ac:dyDescent="0.3">
      <c r="A3" t="s">
        <v>50</v>
      </c>
      <c r="B3">
        <v>0.35</v>
      </c>
    </row>
    <row r="4" spans="1:8" x14ac:dyDescent="0.3">
      <c r="A4" s="9" t="s">
        <v>51</v>
      </c>
      <c r="B4">
        <v>12</v>
      </c>
    </row>
    <row r="5" spans="1:8" x14ac:dyDescent="0.3">
      <c r="A5" s="9" t="s">
        <v>52</v>
      </c>
      <c r="B5">
        <f>B1-1</f>
        <v>48</v>
      </c>
    </row>
    <row r="7" spans="1:8" x14ac:dyDescent="0.3">
      <c r="A7" s="6" t="s">
        <v>54</v>
      </c>
      <c r="B7" s="6"/>
      <c r="C7" s="6"/>
      <c r="D7" s="6"/>
      <c r="E7" s="6"/>
      <c r="F7" s="6"/>
      <c r="G7" s="6"/>
      <c r="H7" s="6"/>
    </row>
    <row r="8" spans="1:8" x14ac:dyDescent="0.3">
      <c r="A8" s="6" t="s">
        <v>55</v>
      </c>
      <c r="B8" s="6"/>
      <c r="C8" s="6"/>
      <c r="D8" s="6"/>
      <c r="E8" s="6"/>
      <c r="F8" s="6"/>
      <c r="G8" s="6"/>
      <c r="H8" s="6"/>
    </row>
    <row r="9" spans="1:8" x14ac:dyDescent="0.3">
      <c r="A9" s="6" t="s">
        <v>53</v>
      </c>
      <c r="B9" s="6">
        <f>(B2-B4)/(B3/SQRT(B1))</f>
        <v>-2.3999999999999844</v>
      </c>
      <c r="C9" s="6"/>
      <c r="D9" s="6"/>
      <c r="E9" s="6"/>
      <c r="F9" s="6"/>
      <c r="G9" s="6"/>
      <c r="H9" s="6"/>
    </row>
    <row r="10" spans="1:8" x14ac:dyDescent="0.3">
      <c r="A10" s="6" t="s">
        <v>56</v>
      </c>
      <c r="B10" s="6">
        <v>1.677</v>
      </c>
      <c r="C10" s="6"/>
      <c r="D10" s="6"/>
      <c r="E10" s="6"/>
      <c r="F10" s="6"/>
      <c r="G10" s="6"/>
      <c r="H10" s="6"/>
    </row>
    <row r="11" spans="1:8" x14ac:dyDescent="0.3">
      <c r="A11" s="6" t="s">
        <v>57</v>
      </c>
      <c r="B11" s="6">
        <f>_xlfn.T.DIST(B9,B5,FALSE)</f>
        <v>2.4706243846266383E-2</v>
      </c>
      <c r="C11" s="6"/>
      <c r="D11" s="6" t="s">
        <v>58</v>
      </c>
      <c r="E11" s="6"/>
      <c r="F11" s="6"/>
      <c r="G11" s="6"/>
      <c r="H11" s="6"/>
    </row>
    <row r="12" spans="1:8" x14ac:dyDescent="0.3">
      <c r="A12" s="6"/>
      <c r="B12" s="6"/>
      <c r="C12" s="6"/>
      <c r="D12" s="6"/>
      <c r="E12" s="6"/>
      <c r="F12" s="6"/>
      <c r="G12" s="6"/>
      <c r="H12" s="6"/>
    </row>
    <row r="13" spans="1:8" x14ac:dyDescent="0.3">
      <c r="A13" s="6" t="s">
        <v>59</v>
      </c>
      <c r="B13" s="6"/>
      <c r="C13" s="6"/>
      <c r="D13" s="6"/>
      <c r="E13" s="6"/>
      <c r="F13" s="6"/>
      <c r="G13" s="6"/>
      <c r="H13" s="6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5"/>
  <sheetViews>
    <sheetView workbookViewId="0"/>
  </sheetViews>
  <sheetFormatPr defaultRowHeight="14.4" x14ac:dyDescent="0.3"/>
  <cols>
    <col min="1" max="1" width="14.33203125" customWidth="1"/>
    <col min="17" max="17" width="13.6640625" customWidth="1"/>
  </cols>
  <sheetData>
    <row r="1" spans="1:25" x14ac:dyDescent="0.3">
      <c r="A1" t="s">
        <v>60</v>
      </c>
      <c r="B1" t="s">
        <v>61</v>
      </c>
      <c r="Q1" t="s">
        <v>64</v>
      </c>
    </row>
    <row r="2" spans="1:25" ht="15" thickBot="1" x14ac:dyDescent="0.35">
      <c r="A2" s="5">
        <v>5</v>
      </c>
      <c r="B2" s="5">
        <v>2</v>
      </c>
    </row>
    <row r="3" spans="1:25" x14ac:dyDescent="0.3">
      <c r="A3" s="5">
        <v>7</v>
      </c>
      <c r="B3" s="5">
        <v>4</v>
      </c>
      <c r="Q3" s="13" t="s">
        <v>65</v>
      </c>
      <c r="R3" s="13"/>
    </row>
    <row r="4" spans="1:25" x14ac:dyDescent="0.3">
      <c r="A4" s="5">
        <v>9</v>
      </c>
      <c r="B4" s="5">
        <v>8</v>
      </c>
      <c r="Q4" s="10" t="s">
        <v>66</v>
      </c>
      <c r="R4" s="10">
        <v>0.68197475965508769</v>
      </c>
    </row>
    <row r="5" spans="1:25" x14ac:dyDescent="0.3">
      <c r="A5" s="5">
        <v>12</v>
      </c>
      <c r="B5" s="5">
        <v>5</v>
      </c>
      <c r="Q5" s="10" t="s">
        <v>67</v>
      </c>
      <c r="R5" s="10">
        <v>0.46508957280661462</v>
      </c>
    </row>
    <row r="6" spans="1:25" x14ac:dyDescent="0.3">
      <c r="A6" s="5">
        <v>10</v>
      </c>
      <c r="B6" s="5">
        <v>7</v>
      </c>
      <c r="Q6" s="10" t="s">
        <v>68</v>
      </c>
      <c r="R6" s="10">
        <v>0.37593783494105043</v>
      </c>
    </row>
    <row r="7" spans="1:25" x14ac:dyDescent="0.3">
      <c r="A7" s="5">
        <v>13</v>
      </c>
      <c r="B7" s="5">
        <v>8</v>
      </c>
      <c r="Q7" s="10" t="s">
        <v>69</v>
      </c>
      <c r="R7" s="10">
        <v>3.1599042138873759</v>
      </c>
    </row>
    <row r="8" spans="1:25" ht="15" thickBot="1" x14ac:dyDescent="0.35">
      <c r="A8" s="5">
        <v>16</v>
      </c>
      <c r="B8" s="5">
        <v>9</v>
      </c>
      <c r="Q8" s="11" t="s">
        <v>70</v>
      </c>
      <c r="R8" s="11">
        <v>8</v>
      </c>
    </row>
    <row r="9" spans="1:25" x14ac:dyDescent="0.3">
      <c r="A9" s="5">
        <v>16</v>
      </c>
      <c r="B9" s="5">
        <v>6</v>
      </c>
    </row>
    <row r="10" spans="1:25" ht="15" thickBot="1" x14ac:dyDescent="0.35">
      <c r="Q10" t="s">
        <v>71</v>
      </c>
    </row>
    <row r="11" spans="1:25" x14ac:dyDescent="0.3">
      <c r="A11" s="6" t="s">
        <v>62</v>
      </c>
      <c r="B11" s="6"/>
      <c r="C11" s="6"/>
      <c r="D11" s="6"/>
      <c r="E11" s="6"/>
      <c r="F11" s="6"/>
      <c r="G11" s="6"/>
      <c r="Q11" s="12"/>
      <c r="R11" s="12" t="s">
        <v>52</v>
      </c>
      <c r="S11" s="12" t="s">
        <v>75</v>
      </c>
      <c r="T11" s="12" t="s">
        <v>76</v>
      </c>
      <c r="U11" s="12" t="s">
        <v>77</v>
      </c>
      <c r="V11" s="12" t="s">
        <v>78</v>
      </c>
    </row>
    <row r="12" spans="1:25" x14ac:dyDescent="0.3">
      <c r="A12" s="6" t="s">
        <v>63</v>
      </c>
      <c r="B12" s="6"/>
      <c r="C12" s="6"/>
      <c r="D12" s="6"/>
      <c r="E12" s="6"/>
      <c r="F12" s="6"/>
      <c r="G12" s="6"/>
      <c r="Q12" s="10" t="s">
        <v>72</v>
      </c>
      <c r="R12" s="10">
        <v>1</v>
      </c>
      <c r="S12" s="10">
        <v>52.09003215434084</v>
      </c>
      <c r="T12" s="10">
        <v>52.09003215434084</v>
      </c>
      <c r="U12" s="10">
        <v>5.2168312580506662</v>
      </c>
      <c r="V12" s="10">
        <v>6.2452709603870345E-2</v>
      </c>
    </row>
    <row r="13" spans="1:25" x14ac:dyDescent="0.3">
      <c r="A13" s="6"/>
      <c r="B13" s="6"/>
      <c r="C13" s="6"/>
      <c r="D13" s="6"/>
      <c r="E13" s="6"/>
      <c r="F13" s="6"/>
      <c r="G13" s="6"/>
      <c r="Q13" s="10" t="s">
        <v>73</v>
      </c>
      <c r="R13" s="10">
        <v>6</v>
      </c>
      <c r="S13" s="10">
        <v>59.90996784565916</v>
      </c>
      <c r="T13" s="10">
        <v>9.984994640943194</v>
      </c>
      <c r="U13" s="10"/>
      <c r="V13" s="10"/>
    </row>
    <row r="14" spans="1:25" ht="15" thickBot="1" x14ac:dyDescent="0.35">
      <c r="A14" s="6" t="s">
        <v>87</v>
      </c>
      <c r="B14" s="6"/>
      <c r="C14" s="6"/>
      <c r="D14" s="6"/>
      <c r="E14" s="6"/>
      <c r="F14" s="6"/>
      <c r="G14" s="6"/>
      <c r="Q14" s="11" t="s">
        <v>7</v>
      </c>
      <c r="R14" s="11">
        <v>7</v>
      </c>
      <c r="S14" s="11">
        <v>112</v>
      </c>
      <c r="T14" s="11"/>
      <c r="U14" s="11"/>
      <c r="V14" s="11"/>
    </row>
    <row r="15" spans="1:25" ht="15" thickBot="1" x14ac:dyDescent="0.35">
      <c r="A15" s="6" t="s">
        <v>90</v>
      </c>
      <c r="B15" s="6"/>
      <c r="C15" s="6"/>
      <c r="D15" s="6"/>
      <c r="E15" s="6"/>
      <c r="F15" s="6"/>
      <c r="G15" s="6"/>
    </row>
    <row r="16" spans="1:25" x14ac:dyDescent="0.3">
      <c r="A16" s="6" t="s">
        <v>91</v>
      </c>
      <c r="B16" s="6"/>
      <c r="C16" s="6"/>
      <c r="D16" s="6"/>
      <c r="E16" s="6"/>
      <c r="F16" s="6"/>
      <c r="G16" s="6"/>
      <c r="Q16" s="12"/>
      <c r="R16" s="12" t="s">
        <v>79</v>
      </c>
      <c r="S16" s="12" t="s">
        <v>69</v>
      </c>
      <c r="T16" s="12" t="s">
        <v>80</v>
      </c>
      <c r="U16" s="12" t="s">
        <v>81</v>
      </c>
      <c r="V16" s="12" t="s">
        <v>82</v>
      </c>
      <c r="W16" s="12" t="s">
        <v>83</v>
      </c>
      <c r="X16" s="12" t="s">
        <v>84</v>
      </c>
      <c r="Y16" s="12" t="s">
        <v>85</v>
      </c>
    </row>
    <row r="17" spans="1:25" x14ac:dyDescent="0.3">
      <c r="A17" s="6"/>
      <c r="B17" s="6" t="s">
        <v>92</v>
      </c>
      <c r="C17" s="6">
        <f>T12/T13</f>
        <v>5.2168312580506662</v>
      </c>
      <c r="D17" s="6" t="s">
        <v>94</v>
      </c>
      <c r="E17" s="6"/>
      <c r="F17" s="6"/>
      <c r="G17" s="6"/>
      <c r="Q17" s="10" t="s">
        <v>74</v>
      </c>
      <c r="R17" s="10">
        <v>3.9099678456591658</v>
      </c>
      <c r="S17" s="10">
        <v>3.2990855126154295</v>
      </c>
      <c r="T17" s="10">
        <v>1.1851671715412568</v>
      </c>
      <c r="U17" s="10">
        <v>0.28075986009885806</v>
      </c>
      <c r="V17" s="10">
        <v>-4.1626035931002061</v>
      </c>
      <c r="W17" s="10">
        <v>11.982539284418538</v>
      </c>
      <c r="X17" s="10">
        <v>-4.1626035931002061</v>
      </c>
      <c r="Y17" s="10">
        <v>11.982539284418538</v>
      </c>
    </row>
    <row r="18" spans="1:25" ht="15" thickBot="1" x14ac:dyDescent="0.35">
      <c r="A18" s="6"/>
      <c r="B18" s="6" t="s">
        <v>93</v>
      </c>
      <c r="C18" s="6">
        <v>5.99</v>
      </c>
      <c r="D18" s="6" t="s">
        <v>57</v>
      </c>
      <c r="E18" s="6">
        <f>V12</f>
        <v>6.2452709603870345E-2</v>
      </c>
      <c r="F18" s="6" t="s">
        <v>95</v>
      </c>
      <c r="G18" s="6"/>
      <c r="Q18" s="11" t="s">
        <v>86</v>
      </c>
      <c r="R18" s="11">
        <v>1.1575562700964628</v>
      </c>
      <c r="S18" s="11">
        <v>0.5068024632384095</v>
      </c>
      <c r="T18" s="11">
        <v>2.2840383661512047</v>
      </c>
      <c r="U18" s="11">
        <v>6.2452709603870393E-2</v>
      </c>
      <c r="V18" s="11">
        <v>-8.2544683391064133E-2</v>
      </c>
      <c r="W18" s="11">
        <v>2.3976572235839897</v>
      </c>
      <c r="X18" s="11">
        <v>-8.2544683391064133E-2</v>
      </c>
      <c r="Y18" s="11">
        <v>2.3976572235839897</v>
      </c>
    </row>
    <row r="19" spans="1:25" x14ac:dyDescent="0.3">
      <c r="A19" s="6" t="s">
        <v>96</v>
      </c>
      <c r="B19" s="6"/>
      <c r="C19" s="6"/>
      <c r="D19" s="6"/>
      <c r="E19" s="6"/>
      <c r="F19" s="6"/>
      <c r="G19" s="6"/>
    </row>
    <row r="20" spans="1:25" x14ac:dyDescent="0.3">
      <c r="A20" s="6"/>
      <c r="B20" s="6"/>
      <c r="C20" s="6"/>
      <c r="D20" s="6"/>
      <c r="E20" s="6"/>
      <c r="F20" s="6"/>
      <c r="G20" s="6"/>
      <c r="K20" t="s">
        <v>98</v>
      </c>
      <c r="L20" cm="1">
        <f t="array" ref="L20:M24">LINEST(A2:A9,B2:B9,TRUE,TRUE)</f>
        <v>1.1575562700964628</v>
      </c>
      <c r="M20">
        <v>3.9099678456591658</v>
      </c>
      <c r="N20" t="s">
        <v>16</v>
      </c>
    </row>
    <row r="21" spans="1:25" x14ac:dyDescent="0.3">
      <c r="A21" s="6" t="s">
        <v>97</v>
      </c>
      <c r="B21" s="6"/>
      <c r="C21" s="6"/>
      <c r="D21" s="6"/>
      <c r="E21" s="6"/>
      <c r="F21" s="6"/>
      <c r="G21" s="6"/>
      <c r="K21" t="s">
        <v>99</v>
      </c>
      <c r="L21">
        <v>0.5068024632384095</v>
      </c>
      <c r="M21">
        <v>3.2990855126154295</v>
      </c>
      <c r="N21" t="s">
        <v>102</v>
      </c>
    </row>
    <row r="22" spans="1:25" x14ac:dyDescent="0.3">
      <c r="A22" s="6" t="s">
        <v>88</v>
      </c>
      <c r="B22" s="6"/>
      <c r="C22" s="6" t="s">
        <v>53</v>
      </c>
      <c r="D22" s="6">
        <f>L20/L21</f>
        <v>2.2840383661512047</v>
      </c>
      <c r="E22" s="6"/>
      <c r="F22" s="6" t="s">
        <v>57</v>
      </c>
      <c r="G22" s="6">
        <f>_xlfn.T.DIST(D22,7,FALSE)</f>
        <v>4.1496258874466861E-2</v>
      </c>
      <c r="K22" t="s">
        <v>100</v>
      </c>
      <c r="L22">
        <v>0.46508957280661462</v>
      </c>
      <c r="M22">
        <v>3.1599042138873759</v>
      </c>
      <c r="N22" t="s">
        <v>103</v>
      </c>
    </row>
    <row r="23" spans="1:25" x14ac:dyDescent="0.3">
      <c r="A23" s="6" t="s">
        <v>89</v>
      </c>
      <c r="B23" s="6"/>
      <c r="C23" s="6" t="s">
        <v>56</v>
      </c>
      <c r="D23" s="6">
        <v>1.895</v>
      </c>
      <c r="E23" s="6" t="s">
        <v>105</v>
      </c>
      <c r="F23" s="6"/>
      <c r="G23" s="6"/>
      <c r="K23" t="s">
        <v>77</v>
      </c>
      <c r="L23">
        <v>5.2168312580506662</v>
      </c>
      <c r="M23">
        <v>6</v>
      </c>
      <c r="N23" t="s">
        <v>52</v>
      </c>
    </row>
    <row r="24" spans="1:25" x14ac:dyDescent="0.3">
      <c r="A24" s="6"/>
      <c r="B24" s="6"/>
      <c r="C24" s="6"/>
      <c r="D24" s="6"/>
      <c r="E24" s="6"/>
      <c r="F24" s="6"/>
      <c r="G24" s="6"/>
      <c r="K24" t="s">
        <v>101</v>
      </c>
      <c r="L24">
        <v>52.09003215434084</v>
      </c>
      <c r="M24">
        <v>59.90996784565916</v>
      </c>
      <c r="N24" t="s">
        <v>104</v>
      </c>
    </row>
    <row r="25" spans="1:25" x14ac:dyDescent="0.3">
      <c r="A25" s="6" t="s">
        <v>106</v>
      </c>
      <c r="B25" s="6"/>
      <c r="C25" s="6"/>
      <c r="D25" s="6"/>
      <c r="E25" s="6"/>
      <c r="F25" s="6"/>
      <c r="G25" s="6"/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>
      <selection activeCell="A14" sqref="A14"/>
    </sheetView>
  </sheetViews>
  <sheetFormatPr defaultRowHeight="14.4" x14ac:dyDescent="0.3"/>
  <cols>
    <col min="1" max="1" width="26.33203125" customWidth="1"/>
  </cols>
  <sheetData>
    <row r="1" spans="1:7" x14ac:dyDescent="0.3">
      <c r="A1" t="s">
        <v>107</v>
      </c>
      <c r="B1">
        <v>0.83499999999999996</v>
      </c>
      <c r="C1" t="s">
        <v>113</v>
      </c>
    </row>
    <row r="2" spans="1:7" x14ac:dyDescent="0.3">
      <c r="A2" t="s">
        <v>109</v>
      </c>
      <c r="B2">
        <v>0.27600000000000002</v>
      </c>
      <c r="C2" t="s">
        <v>112</v>
      </c>
      <c r="E2" t="s">
        <v>119</v>
      </c>
      <c r="F2">
        <f>B1*B5</f>
        <v>0.35237000000000013</v>
      </c>
    </row>
    <row r="3" spans="1:7" x14ac:dyDescent="0.3">
      <c r="A3" t="s">
        <v>110</v>
      </c>
      <c r="B3">
        <v>0.98099999999999998</v>
      </c>
      <c r="C3" t="s">
        <v>111</v>
      </c>
    </row>
    <row r="5" spans="1:7" x14ac:dyDescent="0.3">
      <c r="A5" t="s">
        <v>108</v>
      </c>
      <c r="B5">
        <f>(B3+B2)-B1</f>
        <v>0.42200000000000015</v>
      </c>
      <c r="C5" t="s">
        <v>114</v>
      </c>
    </row>
    <row r="7" spans="1:7" x14ac:dyDescent="0.3">
      <c r="A7" s="6" t="s">
        <v>115</v>
      </c>
      <c r="B7" s="6"/>
      <c r="C7" s="6"/>
      <c r="D7" s="6"/>
      <c r="E7" s="6"/>
      <c r="F7" s="6"/>
      <c r="G7" s="6"/>
    </row>
    <row r="8" spans="1:7" x14ac:dyDescent="0.3">
      <c r="A8" s="6" t="s">
        <v>120</v>
      </c>
      <c r="B8" s="6"/>
      <c r="C8" s="6"/>
      <c r="D8" s="6"/>
      <c r="E8" s="6"/>
      <c r="F8" s="6"/>
      <c r="G8" s="6"/>
    </row>
    <row r="9" spans="1:7" x14ac:dyDescent="0.3">
      <c r="A9" s="6" t="s">
        <v>121</v>
      </c>
      <c r="B9" s="6"/>
      <c r="C9" s="6"/>
      <c r="D9" s="6"/>
      <c r="E9" s="6"/>
      <c r="F9" s="6"/>
      <c r="G9" s="6"/>
    </row>
    <row r="10" spans="1:7" x14ac:dyDescent="0.3">
      <c r="A10" s="6" t="s">
        <v>118</v>
      </c>
      <c r="B10" s="6"/>
      <c r="C10" s="6"/>
      <c r="D10" s="6"/>
      <c r="E10" s="6"/>
      <c r="F10" s="6"/>
      <c r="G10" s="6"/>
    </row>
    <row r="11" spans="1:7" x14ac:dyDescent="0.3">
      <c r="A11" s="6" t="s">
        <v>116</v>
      </c>
      <c r="B11" s="6"/>
      <c r="C11" s="6"/>
      <c r="D11" s="6"/>
      <c r="E11" s="6"/>
      <c r="F11" s="6"/>
      <c r="G11" s="6"/>
    </row>
    <row r="12" spans="1:7" x14ac:dyDescent="0.3">
      <c r="A12" s="6" t="s">
        <v>117</v>
      </c>
      <c r="B12" s="6"/>
      <c r="C12" s="6"/>
      <c r="D12" s="6"/>
      <c r="E12" s="6"/>
      <c r="F12" s="6"/>
      <c r="G12" s="6"/>
    </row>
    <row r="13" spans="1:7" x14ac:dyDescent="0.3">
      <c r="A13" s="6"/>
      <c r="B13" s="6"/>
      <c r="C13" s="6"/>
      <c r="D13" s="6"/>
      <c r="E13" s="6"/>
      <c r="F13" s="6"/>
      <c r="G13" s="6"/>
    </row>
    <row r="14" spans="1:7" x14ac:dyDescent="0.3">
      <c r="A14" s="6"/>
      <c r="B14" s="6"/>
      <c r="C14" s="6"/>
      <c r="D14" s="6"/>
      <c r="E14" s="6"/>
      <c r="F14" s="6"/>
      <c r="G14" s="6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6"/>
  <sheetViews>
    <sheetView workbookViewId="0">
      <selection activeCell="G5" sqref="G5"/>
    </sheetView>
  </sheetViews>
  <sheetFormatPr defaultRowHeight="14.4" x14ac:dyDescent="0.3"/>
  <cols>
    <col min="1" max="1" width="15.5546875" customWidth="1"/>
    <col min="5" max="5" width="15.33203125" customWidth="1"/>
  </cols>
  <sheetData>
    <row r="1" spans="1:16" x14ac:dyDescent="0.3">
      <c r="A1" t="s">
        <v>48</v>
      </c>
      <c r="B1">
        <v>80</v>
      </c>
      <c r="G1" s="6" t="s">
        <v>126</v>
      </c>
      <c r="H1" s="6"/>
      <c r="I1" s="6"/>
      <c r="J1" s="6"/>
      <c r="K1" s="6"/>
      <c r="L1" s="6"/>
      <c r="M1" s="6"/>
      <c r="N1" s="6"/>
      <c r="O1" s="6"/>
      <c r="P1" s="6"/>
    </row>
    <row r="2" spans="1:16" x14ac:dyDescent="0.3">
      <c r="A2" t="s">
        <v>39</v>
      </c>
      <c r="B2">
        <v>6</v>
      </c>
      <c r="G2" s="6"/>
      <c r="H2" s="6"/>
      <c r="I2" s="6"/>
      <c r="J2" s="6"/>
      <c r="K2" s="6"/>
      <c r="L2" s="6"/>
      <c r="M2" s="6"/>
      <c r="N2" s="6"/>
      <c r="O2" s="6"/>
      <c r="P2" s="6"/>
    </row>
    <row r="3" spans="1:16" x14ac:dyDescent="0.3">
      <c r="G3" s="6" t="s">
        <v>132</v>
      </c>
      <c r="H3" s="6"/>
      <c r="I3" s="6"/>
      <c r="J3" s="6"/>
      <c r="K3" s="6"/>
      <c r="L3" s="6"/>
      <c r="M3" s="6"/>
      <c r="N3" s="6"/>
      <c r="O3" s="6"/>
      <c r="P3" s="6"/>
    </row>
    <row r="4" spans="1:16" x14ac:dyDescent="0.3">
      <c r="A4" t="s">
        <v>124</v>
      </c>
      <c r="G4" s="6"/>
      <c r="H4" s="6"/>
      <c r="I4" s="6"/>
      <c r="J4" s="6"/>
      <c r="K4" s="6"/>
      <c r="L4" s="6"/>
      <c r="M4" s="6"/>
      <c r="N4" s="6"/>
      <c r="O4" s="6"/>
      <c r="P4" s="6"/>
    </row>
    <row r="5" spans="1:16" x14ac:dyDescent="0.3">
      <c r="A5" t="s">
        <v>122</v>
      </c>
      <c r="B5">
        <f>((71-B1)/B2)</f>
        <v>-1.5</v>
      </c>
      <c r="G5" s="6" t="s">
        <v>137</v>
      </c>
      <c r="H5" s="6"/>
      <c r="I5" s="6"/>
      <c r="J5" s="6"/>
      <c r="K5" s="6"/>
      <c r="L5" s="6"/>
      <c r="M5" s="6"/>
      <c r="N5" s="6"/>
      <c r="O5" s="6"/>
      <c r="P5" s="6"/>
    </row>
    <row r="6" spans="1:16" x14ac:dyDescent="0.3">
      <c r="A6" t="s">
        <v>123</v>
      </c>
      <c r="B6">
        <f>1-0.9332</f>
        <v>6.6799999999999971E-2</v>
      </c>
      <c r="G6" s="6"/>
      <c r="H6" s="6"/>
      <c r="I6" s="6"/>
      <c r="J6" s="6"/>
      <c r="K6" s="6"/>
      <c r="L6" s="6"/>
      <c r="M6" s="6"/>
      <c r="N6" s="6"/>
      <c r="O6" s="6"/>
      <c r="P6" s="6"/>
    </row>
    <row r="7" spans="1:16" x14ac:dyDescent="0.3">
      <c r="A7" t="s">
        <v>125</v>
      </c>
      <c r="B7">
        <f>1-B6</f>
        <v>0.93320000000000003</v>
      </c>
      <c r="G7" s="6" t="s">
        <v>141</v>
      </c>
      <c r="H7" s="6"/>
      <c r="I7" s="6"/>
      <c r="J7" s="6"/>
      <c r="K7" s="6"/>
      <c r="L7" s="6"/>
      <c r="M7" s="6"/>
      <c r="N7" s="6"/>
      <c r="O7" s="6"/>
      <c r="P7" s="6"/>
    </row>
    <row r="9" spans="1:16" x14ac:dyDescent="0.3">
      <c r="A9" t="s">
        <v>127</v>
      </c>
    </row>
    <row r="10" spans="1:16" x14ac:dyDescent="0.3">
      <c r="A10" t="s">
        <v>128</v>
      </c>
    </row>
    <row r="11" spans="1:16" x14ac:dyDescent="0.3">
      <c r="A11" t="s">
        <v>122</v>
      </c>
      <c r="B11">
        <f>(92-B1)/B2</f>
        <v>2</v>
      </c>
    </row>
    <row r="12" spans="1:16" x14ac:dyDescent="0.3">
      <c r="A12" t="s">
        <v>129</v>
      </c>
      <c r="B12">
        <v>0.97719999999999996</v>
      </c>
      <c r="E12" t="s">
        <v>133</v>
      </c>
      <c r="F12">
        <v>2.5000000000000001E-2</v>
      </c>
      <c r="H12" t="s">
        <v>139</v>
      </c>
    </row>
    <row r="13" spans="1:16" x14ac:dyDescent="0.3">
      <c r="A13" t="s">
        <v>130</v>
      </c>
      <c r="E13" t="s">
        <v>134</v>
      </c>
      <c r="F13">
        <f>1-F12</f>
        <v>0.97499999999999998</v>
      </c>
      <c r="H13" t="s">
        <v>122</v>
      </c>
      <c r="I13">
        <f>(89-B1)/B2</f>
        <v>1.5</v>
      </c>
    </row>
    <row r="14" spans="1:16" x14ac:dyDescent="0.3">
      <c r="A14" t="s">
        <v>122</v>
      </c>
      <c r="B14">
        <f>(89-B1)/B2</f>
        <v>1.5</v>
      </c>
      <c r="E14" t="s">
        <v>135</v>
      </c>
      <c r="F14">
        <v>1.96</v>
      </c>
      <c r="H14" t="s">
        <v>131</v>
      </c>
      <c r="I14">
        <v>0.93320000000000003</v>
      </c>
    </row>
    <row r="15" spans="1:16" x14ac:dyDescent="0.3">
      <c r="A15" t="s">
        <v>131</v>
      </c>
      <c r="B15">
        <v>0.93320000000000003</v>
      </c>
      <c r="E15" t="s">
        <v>136</v>
      </c>
      <c r="F15">
        <f>(F14*B2)+B1</f>
        <v>91.76</v>
      </c>
      <c r="H15" t="s">
        <v>140</v>
      </c>
      <c r="I15">
        <f>1-I14</f>
        <v>6.6799999999999971E-2</v>
      </c>
    </row>
    <row r="16" spans="1:16" x14ac:dyDescent="0.3">
      <c r="A16" t="s">
        <v>127</v>
      </c>
      <c r="B16">
        <f>B12-B15</f>
        <v>4.3999999999999928E-2</v>
      </c>
      <c r="H16" t="s">
        <v>23</v>
      </c>
      <c r="I16">
        <f>334/I15</f>
        <v>5000.0000000000018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workbookViewId="0">
      <selection activeCell="A14" sqref="A14"/>
    </sheetView>
  </sheetViews>
  <sheetFormatPr defaultRowHeight="14.4" x14ac:dyDescent="0.3"/>
  <sheetData>
    <row r="1" spans="1:6" x14ac:dyDescent="0.3">
      <c r="A1" s="9" t="s">
        <v>51</v>
      </c>
      <c r="B1">
        <v>87</v>
      </c>
    </row>
    <row r="2" spans="1:6" x14ac:dyDescent="0.3">
      <c r="A2" t="s">
        <v>23</v>
      </c>
      <c r="B2">
        <v>36</v>
      </c>
    </row>
    <row r="3" spans="1:6" x14ac:dyDescent="0.3">
      <c r="A3" t="s">
        <v>142</v>
      </c>
      <c r="B3">
        <v>83.96</v>
      </c>
    </row>
    <row r="4" spans="1:6" x14ac:dyDescent="0.3">
      <c r="A4" t="s">
        <v>39</v>
      </c>
      <c r="B4">
        <v>12</v>
      </c>
    </row>
    <row r="5" spans="1:6" x14ac:dyDescent="0.3">
      <c r="A5" t="s">
        <v>52</v>
      </c>
      <c r="B5">
        <f>B2-1</f>
        <v>35</v>
      </c>
    </row>
    <row r="7" spans="1:6" x14ac:dyDescent="0.3">
      <c r="A7" s="6" t="s">
        <v>143</v>
      </c>
      <c r="B7" s="6"/>
      <c r="C7" s="6"/>
      <c r="D7" s="6"/>
      <c r="E7" s="6"/>
      <c r="F7" s="6"/>
    </row>
    <row r="8" spans="1:6" x14ac:dyDescent="0.3">
      <c r="A8" s="6" t="s">
        <v>144</v>
      </c>
      <c r="B8" s="6"/>
      <c r="C8" s="6"/>
      <c r="D8" s="6"/>
      <c r="E8" s="6"/>
      <c r="F8" s="6"/>
    </row>
    <row r="9" spans="1:6" x14ac:dyDescent="0.3">
      <c r="A9" s="6"/>
      <c r="B9" s="6"/>
      <c r="C9" s="6"/>
      <c r="D9" s="6"/>
      <c r="E9" s="6"/>
      <c r="F9" s="6"/>
    </row>
    <row r="10" spans="1:6" x14ac:dyDescent="0.3">
      <c r="A10" s="6" t="s">
        <v>53</v>
      </c>
      <c r="B10" s="6">
        <f>(B3-B1)/(B4/SQRT(B2))</f>
        <v>-1.5200000000000031</v>
      </c>
      <c r="C10" s="6"/>
      <c r="D10" s="6"/>
      <c r="E10" s="6"/>
      <c r="F10" s="6"/>
    </row>
    <row r="11" spans="1:6" x14ac:dyDescent="0.3">
      <c r="A11" s="6" t="s">
        <v>56</v>
      </c>
      <c r="B11" s="6">
        <v>1.69</v>
      </c>
      <c r="C11" s="6" t="s">
        <v>145</v>
      </c>
      <c r="D11" s="6"/>
      <c r="E11" s="6"/>
      <c r="F11" s="6"/>
    </row>
    <row r="12" spans="1:6" x14ac:dyDescent="0.3">
      <c r="A12" s="6" t="s">
        <v>57</v>
      </c>
      <c r="B12" s="6">
        <f>_xlfn.T.DIST(B10,B5,FALSE)</f>
        <v>0.12534150090541052</v>
      </c>
      <c r="C12" s="6" t="s">
        <v>146</v>
      </c>
      <c r="D12" s="6"/>
      <c r="E12" s="6"/>
      <c r="F12" s="6"/>
    </row>
    <row r="13" spans="1:6" x14ac:dyDescent="0.3">
      <c r="A13" s="6" t="s">
        <v>147</v>
      </c>
      <c r="B13" s="6"/>
      <c r="C13" s="6"/>
      <c r="D13" s="6"/>
      <c r="E13" s="6"/>
      <c r="F13" s="6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3"/>
  <sheetViews>
    <sheetView tabSelected="1" topLeftCell="A3" workbookViewId="0">
      <selection activeCell="F22" sqref="F22"/>
    </sheetView>
  </sheetViews>
  <sheetFormatPr defaultRowHeight="14.4" x14ac:dyDescent="0.3"/>
  <cols>
    <col min="6" max="6" width="14.44140625" customWidth="1"/>
  </cols>
  <sheetData>
    <row r="1" spans="1:16" ht="15.6" x14ac:dyDescent="0.3">
      <c r="A1" s="15" t="s">
        <v>148</v>
      </c>
      <c r="B1" s="15" t="s">
        <v>149</v>
      </c>
      <c r="C1" s="15" t="s">
        <v>150</v>
      </c>
      <c r="D1" s="15" t="s">
        <v>151</v>
      </c>
      <c r="F1" s="16" t="s">
        <v>71</v>
      </c>
      <c r="G1" s="14"/>
      <c r="H1" s="14"/>
      <c r="I1" s="14"/>
      <c r="J1" s="14"/>
      <c r="K1" s="14"/>
    </row>
    <row r="2" spans="1:16" ht="31.2" x14ac:dyDescent="0.3">
      <c r="A2" s="14">
        <v>1</v>
      </c>
      <c r="B2" s="14">
        <v>87.5</v>
      </c>
      <c r="C2" s="14">
        <v>950</v>
      </c>
      <c r="D2" s="14">
        <v>11</v>
      </c>
      <c r="F2" s="14"/>
      <c r="G2" s="15" t="s">
        <v>52</v>
      </c>
      <c r="H2" s="15" t="s">
        <v>75</v>
      </c>
      <c r="I2" s="15" t="s">
        <v>76</v>
      </c>
      <c r="J2" s="15" t="s">
        <v>77</v>
      </c>
      <c r="K2" s="15" t="s">
        <v>78</v>
      </c>
    </row>
    <row r="3" spans="1:16" ht="15" customHeight="1" x14ac:dyDescent="0.3">
      <c r="A3" s="14">
        <v>2</v>
      </c>
      <c r="B3" s="14">
        <v>86</v>
      </c>
      <c r="C3" s="14">
        <v>945</v>
      </c>
      <c r="D3" s="14">
        <v>11.25</v>
      </c>
      <c r="F3" s="16" t="s">
        <v>72</v>
      </c>
      <c r="G3" s="14">
        <v>2</v>
      </c>
      <c r="H3" s="14">
        <v>118.84739999999999</v>
      </c>
      <c r="I3" s="14">
        <v>59.423699999999997</v>
      </c>
      <c r="J3" s="14">
        <v>40.921599999999998</v>
      </c>
      <c r="K3" s="14">
        <v>0</v>
      </c>
    </row>
    <row r="4" spans="1:16" ht="15.6" x14ac:dyDescent="0.3">
      <c r="A4" s="14">
        <v>3</v>
      </c>
      <c r="B4" s="14">
        <v>84</v>
      </c>
      <c r="C4" s="14">
        <v>940</v>
      </c>
      <c r="D4" s="14">
        <v>11.75</v>
      </c>
      <c r="F4" s="16" t="s">
        <v>73</v>
      </c>
      <c r="G4" s="14">
        <v>9</v>
      </c>
      <c r="H4" s="14">
        <v>13.0692</v>
      </c>
      <c r="I4" s="14">
        <v>1.4520999999999999</v>
      </c>
      <c r="J4" s="14"/>
      <c r="K4" s="14"/>
    </row>
    <row r="5" spans="1:16" ht="15.6" x14ac:dyDescent="0.3">
      <c r="A5" s="14">
        <v>4</v>
      </c>
      <c r="B5" s="14">
        <v>83</v>
      </c>
      <c r="C5" s="14">
        <v>930</v>
      </c>
      <c r="D5" s="14">
        <v>11.75</v>
      </c>
      <c r="F5" s="16" t="s">
        <v>7</v>
      </c>
      <c r="G5" s="14">
        <v>11</v>
      </c>
      <c r="H5" s="14">
        <v>131.91669999999999</v>
      </c>
      <c r="I5" s="14"/>
      <c r="J5" s="14"/>
      <c r="K5" s="14"/>
    </row>
    <row r="6" spans="1:16" ht="15.6" x14ac:dyDescent="0.3">
      <c r="A6" s="14">
        <v>5</v>
      </c>
      <c r="B6" s="14">
        <v>84.5</v>
      </c>
      <c r="C6" s="14">
        <v>935</v>
      </c>
      <c r="D6" s="14">
        <v>12</v>
      </c>
      <c r="F6" s="16"/>
      <c r="G6" s="14"/>
      <c r="H6" s="14"/>
      <c r="I6" s="14"/>
      <c r="J6" s="14"/>
      <c r="K6" s="14"/>
    </row>
    <row r="7" spans="1:16" ht="31.2" x14ac:dyDescent="0.3">
      <c r="A7" s="14">
        <v>6</v>
      </c>
      <c r="B7" s="14">
        <v>84</v>
      </c>
      <c r="C7" s="14">
        <v>935</v>
      </c>
      <c r="D7" s="14">
        <v>13</v>
      </c>
      <c r="F7" s="17"/>
      <c r="G7" s="15" t="s">
        <v>79</v>
      </c>
      <c r="H7" s="15" t="s">
        <v>69</v>
      </c>
      <c r="I7" s="15" t="s">
        <v>80</v>
      </c>
      <c r="J7" s="15" t="s">
        <v>81</v>
      </c>
      <c r="K7" s="14"/>
    </row>
    <row r="8" spans="1:16" ht="15.6" x14ac:dyDescent="0.3">
      <c r="A8" s="14">
        <v>7</v>
      </c>
      <c r="B8" s="14">
        <v>82</v>
      </c>
      <c r="C8" s="14">
        <v>932</v>
      </c>
      <c r="D8" s="14">
        <v>13.25</v>
      </c>
      <c r="F8" s="16" t="s">
        <v>74</v>
      </c>
      <c r="G8" s="14">
        <v>118.5059</v>
      </c>
      <c r="H8" s="14">
        <v>33.575299999999999</v>
      </c>
      <c r="I8" s="14">
        <v>3.5295999999999998</v>
      </c>
      <c r="J8" s="14">
        <v>6.4000000000000003E-3</v>
      </c>
      <c r="K8" s="14"/>
    </row>
    <row r="9" spans="1:16" ht="15.6" x14ac:dyDescent="0.3">
      <c r="A9" s="14">
        <v>8</v>
      </c>
      <c r="B9" s="14">
        <v>80</v>
      </c>
      <c r="C9" s="14">
        <v>938</v>
      </c>
      <c r="D9" s="14">
        <v>14.5</v>
      </c>
      <c r="F9" s="16" t="s">
        <v>150</v>
      </c>
      <c r="G9" s="14">
        <v>-1.6299999999999999E-2</v>
      </c>
      <c r="H9" s="14">
        <v>3.15E-2</v>
      </c>
      <c r="I9" s="14">
        <v>-0.5171</v>
      </c>
      <c r="J9" s="14">
        <v>0.61760000000000004</v>
      </c>
      <c r="K9" s="14"/>
    </row>
    <row r="10" spans="1:16" ht="15.6" x14ac:dyDescent="0.3">
      <c r="A10" s="14">
        <v>9</v>
      </c>
      <c r="B10" s="14">
        <v>78.5</v>
      </c>
      <c r="C10" s="14">
        <v>925</v>
      </c>
      <c r="D10" s="14">
        <v>15</v>
      </c>
      <c r="F10" s="16" t="s">
        <v>151</v>
      </c>
      <c r="G10" s="14">
        <v>-1.5726</v>
      </c>
      <c r="H10" s="14">
        <v>0.35899999999999999</v>
      </c>
      <c r="I10" s="14">
        <v>-4.3807</v>
      </c>
      <c r="J10" s="14">
        <v>1.8E-3</v>
      </c>
      <c r="K10" s="14"/>
    </row>
    <row r="11" spans="1:16" ht="15.6" x14ac:dyDescent="0.3">
      <c r="A11" s="14">
        <v>10</v>
      </c>
      <c r="B11" s="14">
        <v>79</v>
      </c>
      <c r="C11" s="14">
        <v>900</v>
      </c>
      <c r="D11" s="14">
        <v>16.5</v>
      </c>
    </row>
    <row r="12" spans="1:16" ht="15.6" x14ac:dyDescent="0.3">
      <c r="A12" s="14">
        <v>11</v>
      </c>
      <c r="B12" s="14">
        <v>77</v>
      </c>
      <c r="C12" s="14">
        <v>875</v>
      </c>
      <c r="D12" s="14">
        <v>17</v>
      </c>
      <c r="F12" s="6" t="s">
        <v>152</v>
      </c>
      <c r="G12" s="6"/>
      <c r="H12" s="6"/>
      <c r="I12" s="6"/>
      <c r="J12" s="6"/>
      <c r="K12" s="6"/>
      <c r="L12" s="6"/>
      <c r="M12" s="6"/>
      <c r="N12" s="6"/>
      <c r="O12" s="6"/>
      <c r="P12" s="6"/>
    </row>
    <row r="13" spans="1:16" ht="15.6" x14ac:dyDescent="0.3">
      <c r="A13" s="14">
        <v>12</v>
      </c>
      <c r="B13" s="14">
        <v>77.5</v>
      </c>
      <c r="C13" s="14">
        <v>870</v>
      </c>
      <c r="D13" s="14">
        <v>17.5</v>
      </c>
      <c r="F13" s="6" t="s">
        <v>159</v>
      </c>
      <c r="G13" s="6"/>
      <c r="H13" s="6"/>
      <c r="I13" s="6"/>
      <c r="J13" s="6"/>
      <c r="K13" s="6"/>
      <c r="L13" s="6"/>
      <c r="M13" s="6"/>
      <c r="N13" s="6"/>
      <c r="O13" s="6"/>
      <c r="P13" s="6"/>
    </row>
    <row r="14" spans="1:16" x14ac:dyDescent="0.3">
      <c r="F14" s="6" t="s">
        <v>158</v>
      </c>
      <c r="G14" s="6"/>
      <c r="H14" s="6" t="s">
        <v>153</v>
      </c>
      <c r="I14" s="6"/>
      <c r="J14" s="6"/>
      <c r="K14" s="6"/>
      <c r="L14" s="6"/>
      <c r="M14" s="6"/>
      <c r="N14" s="6"/>
      <c r="O14" s="6"/>
      <c r="P14" s="6"/>
    </row>
    <row r="15" spans="1:16" x14ac:dyDescent="0.3">
      <c r="F15" s="6"/>
      <c r="G15" s="6"/>
      <c r="H15" s="6" t="s">
        <v>154</v>
      </c>
      <c r="I15" s="6"/>
      <c r="J15" s="6"/>
      <c r="K15" s="6"/>
      <c r="L15" s="6"/>
      <c r="M15" s="6"/>
      <c r="N15" s="6"/>
      <c r="O15" s="6"/>
      <c r="P15" s="6"/>
    </row>
    <row r="16" spans="1:16" x14ac:dyDescent="0.3">
      <c r="F16" s="6"/>
      <c r="G16" s="6"/>
      <c r="H16" s="6" t="s">
        <v>155</v>
      </c>
      <c r="I16" s="6"/>
      <c r="J16" s="6"/>
      <c r="K16" s="6"/>
      <c r="L16" s="6"/>
      <c r="M16" s="6"/>
      <c r="N16" s="6"/>
      <c r="O16" s="6"/>
      <c r="P16" s="6"/>
    </row>
    <row r="17" spans="6:16" x14ac:dyDescent="0.3">
      <c r="F17" s="6"/>
      <c r="G17" s="6"/>
      <c r="H17" s="6" t="s">
        <v>156</v>
      </c>
      <c r="I17" s="6"/>
      <c r="J17" s="6"/>
      <c r="K17" s="6"/>
      <c r="L17" s="6"/>
      <c r="M17" s="6"/>
      <c r="N17" s="6"/>
      <c r="O17" s="6"/>
      <c r="P17" s="6"/>
    </row>
    <row r="18" spans="6:16" x14ac:dyDescent="0.3">
      <c r="F18" s="6" t="s">
        <v>160</v>
      </c>
      <c r="G18" s="6"/>
      <c r="H18" s="6"/>
      <c r="I18" s="6"/>
      <c r="J18" s="6"/>
      <c r="K18" s="6"/>
      <c r="L18" s="6"/>
      <c r="M18" s="6"/>
      <c r="N18" s="6"/>
      <c r="O18" s="6"/>
      <c r="P18" s="6"/>
    </row>
    <row r="19" spans="6:16" x14ac:dyDescent="0.3">
      <c r="F19" s="6" t="s">
        <v>157</v>
      </c>
      <c r="G19" s="6"/>
      <c r="H19" s="6"/>
      <c r="I19" s="6"/>
      <c r="J19" s="6"/>
      <c r="K19" s="6"/>
      <c r="L19" s="6"/>
      <c r="M19" s="6"/>
      <c r="N19" s="6"/>
      <c r="O19" s="6"/>
      <c r="P19" s="6"/>
    </row>
    <row r="20" spans="6:16" x14ac:dyDescent="0.3">
      <c r="F20" s="6" t="s">
        <v>138</v>
      </c>
      <c r="G20" s="6" t="s">
        <v>161</v>
      </c>
      <c r="H20" s="6"/>
      <c r="I20" s="6">
        <f>118.506-(0.0163*945)-(1.5726*16)</f>
        <v>77.940899999999999</v>
      </c>
      <c r="J20" s="6"/>
      <c r="K20" s="6"/>
      <c r="L20" s="6"/>
      <c r="M20" s="6"/>
      <c r="N20" s="6"/>
      <c r="O20" s="6"/>
      <c r="P20" s="6"/>
    </row>
    <row r="21" spans="6:16" x14ac:dyDescent="0.3">
      <c r="F21" s="6" t="s">
        <v>162</v>
      </c>
      <c r="G21" s="6"/>
      <c r="H21" s="6"/>
      <c r="I21" s="6"/>
      <c r="J21" s="6"/>
      <c r="K21" s="6"/>
      <c r="L21" s="6"/>
      <c r="M21" s="6"/>
      <c r="N21" s="6"/>
      <c r="O21" s="6"/>
      <c r="P21" s="6"/>
    </row>
    <row r="22" spans="6:16" x14ac:dyDescent="0.3"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</row>
    <row r="23" spans="6:16" x14ac:dyDescent="0.3"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I</vt:lpstr>
      <vt:lpstr>II</vt:lpstr>
      <vt:lpstr>III</vt:lpstr>
      <vt:lpstr>IV</vt:lpstr>
      <vt:lpstr>V</vt:lpstr>
      <vt:lpstr>VI</vt:lpstr>
      <vt:lpstr>VII</vt:lpstr>
      <vt:lpstr>VIII</vt:lpstr>
      <vt:lpstr>IX</vt:lpstr>
      <vt:lpstr>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SEAN</dc:creator>
  <cp:lastModifiedBy>Windows User</cp:lastModifiedBy>
  <dcterms:created xsi:type="dcterms:W3CDTF">2020-12-12T14:13:44Z</dcterms:created>
  <dcterms:modified xsi:type="dcterms:W3CDTF">2020-12-12T19:16:18Z</dcterms:modified>
</cp:coreProperties>
</file>